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8610" windowHeight="4455" tabRatio="754" activeTab="0"/>
  </bookViews>
  <sheets>
    <sheet name="Отчет с формулами" sheetId="1" r:id="rId1"/>
  </sheets>
  <definedNames>
    <definedName name="_xlnm.Print_Area" localSheetId="0">'Отчет с формулами'!$A$1:$F$703</definedName>
  </definedNames>
  <calcPr fullCalcOnLoad="1" fullPrecision="0"/>
</workbook>
</file>

<file path=xl/sharedStrings.xml><?xml version="1.0" encoding="utf-8"?>
<sst xmlns="http://schemas.openxmlformats.org/spreadsheetml/2006/main" count="2004" uniqueCount="899">
  <si>
    <t>субсидии на иные цели (ДК)</t>
  </si>
  <si>
    <t>Библиотеки (МЗ)</t>
  </si>
  <si>
    <t>Дворцы и дома культуры (МЗ)</t>
  </si>
  <si>
    <t>Субсидии МАУ СК (МЗ)</t>
  </si>
  <si>
    <t>Субсидии на иные цели МАУ</t>
  </si>
  <si>
    <t>МЦП "Развитие и пропаганда физической культуры и спорта на 2013-2015гг"</t>
  </si>
  <si>
    <t>Уменьшение прочих остатков денежных средств  бюджетов поселений</t>
  </si>
  <si>
    <t>Остатки средств бюджетов</t>
  </si>
  <si>
    <t>увеличение внутренних заимствований (КОСГУ 710)</t>
  </si>
  <si>
    <t>уменьшение внутренних заимствований (КОСГУ 810)</t>
  </si>
  <si>
    <t>01  05  02  01  00  0000  510</t>
  </si>
  <si>
    <t>01  05  02  01  10  0000  510</t>
  </si>
  <si>
    <t>01  05  02  01  00  0000  610</t>
  </si>
  <si>
    <t>01  05  02  01  10  0000  610</t>
  </si>
  <si>
    <t>08  00  00  00  00  0000  000</t>
  </si>
  <si>
    <t>57  00  00  00  00  0000  710</t>
  </si>
  <si>
    <t>57  00  00  00  00  0000  810</t>
  </si>
  <si>
    <t>проверка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</si>
  <si>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</si>
  <si>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</si>
  <si>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</si>
  <si>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1. Доходы бюджета</t>
  </si>
  <si>
    <t>Единица измерения: руб.</t>
  </si>
  <si>
    <t>Периодичность: месячная</t>
  </si>
  <si>
    <t>Наименование публично-правового образования________________________________________</t>
  </si>
  <si>
    <t>по ОКПО</t>
  </si>
  <si>
    <t>коды</t>
  </si>
  <si>
    <t>ОТЧЕТ ОБ ИСПОЛНЕНИИ БЮДЖЕТА</t>
  </si>
  <si>
    <t>Налоговые и неналоговые доходы</t>
  </si>
  <si>
    <t>БЕЗВОЗМЕЗДНЫЕ ПОСТУПЛЕНИЯ</t>
  </si>
  <si>
    <t>00020000000000000000</t>
  </si>
  <si>
    <t>Дотации бюджетам поселений на выравнивание бюджетной обеспеченности</t>
  </si>
  <si>
    <t>Прочие субсидии бюджетам поселений</t>
  </si>
  <si>
    <t xml:space="preserve"> 0103 0000000 000 262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</si>
  <si>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</si>
  <si>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</si>
  <si>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 xml:space="preserve"> 0200 0000000 000 000</t>
  </si>
  <si>
    <t xml:space="preserve"> 0300 0000000 000 000</t>
  </si>
  <si>
    <t>Национальная безопасность и правоохранительная деятельность</t>
  </si>
  <si>
    <t>Безвозмездные и безвозвратные перечисления</t>
  </si>
  <si>
    <t>Безвозмездные и безвозвратные перечисления гос.и муниципальным орг-циям</t>
  </si>
  <si>
    <t>Национальная  экономика</t>
  </si>
  <si>
    <t>0400 0000000 000 200</t>
  </si>
  <si>
    <t>0400 0000000 000 000</t>
  </si>
  <si>
    <t>0400 0000000 000 220</t>
  </si>
  <si>
    <t>0400 0000000 000 225</t>
  </si>
  <si>
    <t>0400 0000000 000 226</t>
  </si>
  <si>
    <t>0400 0000000 000 240</t>
  </si>
  <si>
    <t>0400 0000000 000 241</t>
  </si>
  <si>
    <t>Безвозмездные и безвозвратные перечисления  орг-циям за исключением гос.и муницип.</t>
  </si>
  <si>
    <t>0408 3030200 006 225</t>
  </si>
  <si>
    <t>0408 3030200 006 226</t>
  </si>
  <si>
    <t>0408 3030200 006 220</t>
  </si>
  <si>
    <t>0412 0000000 000 000</t>
  </si>
  <si>
    <t>Другие вопросы в области национальной экономики</t>
  </si>
  <si>
    <t>0400 0000000 000 290</t>
  </si>
  <si>
    <t>0412 0000000 000 200</t>
  </si>
  <si>
    <t>0412 0000000 000 220</t>
  </si>
  <si>
    <t>0412 0000000 000 226</t>
  </si>
  <si>
    <t>0412 0000000 000 290</t>
  </si>
  <si>
    <t>0412 3400300 500 225</t>
  </si>
  <si>
    <t>0412 3400300 500 226</t>
  </si>
  <si>
    <t>0412 3400300 500 240</t>
  </si>
  <si>
    <t>0412 3400300 500 241</t>
  </si>
  <si>
    <t>0412 3400300 500 242</t>
  </si>
  <si>
    <t>0412 3450200 013 225</t>
  </si>
  <si>
    <t>Жилищно-коммунальное хозяйство</t>
  </si>
  <si>
    <t>0500 0000000 000 000</t>
  </si>
  <si>
    <t>0500 0000000 000 200</t>
  </si>
  <si>
    <t>0500 0000000 000 220</t>
  </si>
  <si>
    <t>0500 0000000 000 225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</si>
  <si>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</si>
  <si>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</si>
  <si>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</si>
  <si>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00020204014100000151</t>
  </si>
  <si>
    <t>Прочие межбюджетные трансферты, передаваемые бюджетам поселений</t>
  </si>
  <si>
    <t>00010000000000000000</t>
  </si>
  <si>
    <t>2</t>
  </si>
  <si>
    <t>Расходы бюджета - всего</t>
  </si>
  <si>
    <t>Общегосударственные вопросы</t>
  </si>
  <si>
    <t>Оплата труда</t>
  </si>
  <si>
    <t xml:space="preserve"> 0102 0020300 500 220</t>
  </si>
  <si>
    <t xml:space="preserve"> 0102 0020300 500 221</t>
  </si>
  <si>
    <t xml:space="preserve"> 0102 0020300 500 222</t>
  </si>
  <si>
    <t xml:space="preserve"> 0102 0020300 500 223</t>
  </si>
  <si>
    <t xml:space="preserve"> 0102 0020300 500 224</t>
  </si>
  <si>
    <t xml:space="preserve"> 0102 0020300 500 225</t>
  </si>
  <si>
    <t xml:space="preserve"> 0102 0020300 500 226</t>
  </si>
  <si>
    <t xml:space="preserve"> 0102 0020300 500 260</t>
  </si>
  <si>
    <t xml:space="preserve"> 0102 0020300 500 262</t>
  </si>
  <si>
    <t xml:space="preserve"> 0102 0020300 500 290</t>
  </si>
  <si>
    <t xml:space="preserve"> 0102 0020300 500 300</t>
  </si>
  <si>
    <t xml:space="preserve"> 0102 0020300 500 310</t>
  </si>
  <si>
    <t xml:space="preserve"> 0102 0020300 500 340</t>
  </si>
  <si>
    <t xml:space="preserve"> 0103 0021100 500 220</t>
  </si>
  <si>
    <t xml:space="preserve"> 0103 0021100 500 221</t>
  </si>
  <si>
    <t xml:space="preserve"> 0103 0021100 500 222</t>
  </si>
  <si>
    <t xml:space="preserve"> 0103 0021100 500 223</t>
  </si>
  <si>
    <t xml:space="preserve"> 0103 0021100 500 224</t>
  </si>
  <si>
    <t xml:space="preserve"> 0103 0021100 500 225</t>
  </si>
  <si>
    <t xml:space="preserve"> 0103 0021100 500 226</t>
  </si>
  <si>
    <t xml:space="preserve"> 0103 0021100 500 260</t>
  </si>
  <si>
    <t xml:space="preserve"> 0103 0021100 500 262</t>
  </si>
  <si>
    <t xml:space="preserve"> 0103 0021100 500 290</t>
  </si>
  <si>
    <t xml:space="preserve"> 0103 0021100 500 310</t>
  </si>
  <si>
    <t xml:space="preserve"> 0103 0021100 500 300</t>
  </si>
  <si>
    <t xml:space="preserve"> 0103 0021100 500 340</t>
  </si>
  <si>
    <t xml:space="preserve"> 0103 0020400 500 000</t>
  </si>
  <si>
    <t xml:space="preserve"> 0103 0020400 500 200</t>
  </si>
  <si>
    <t xml:space="preserve"> 0103 0020400 500 210</t>
  </si>
  <si>
    <t xml:space="preserve"> 0103 0020400 500 211</t>
  </si>
  <si>
    <t xml:space="preserve"> 0103 0020400 500 212</t>
  </si>
  <si>
    <t xml:space="preserve"> 0103 0020400 500 213</t>
  </si>
  <si>
    <t xml:space="preserve"> 0103 0020400 500 220</t>
  </si>
  <si>
    <t xml:space="preserve"> 0103 0020400 500 221</t>
  </si>
  <si>
    <t xml:space="preserve"> 0103 0020400 500 222</t>
  </si>
  <si>
    <t xml:space="preserve"> 0103 0020400 500 223</t>
  </si>
  <si>
    <t xml:space="preserve"> 0103 0020400 500 224</t>
  </si>
  <si>
    <t xml:space="preserve"> 0103 0020400 500 225</t>
  </si>
  <si>
    <t xml:space="preserve"> 0103 0020400 500 226</t>
  </si>
  <si>
    <t xml:space="preserve"> 0103 0020400 500 260</t>
  </si>
  <si>
    <t xml:space="preserve"> 0103 0020400 500 262</t>
  </si>
  <si>
    <t xml:space="preserve"> 0103 0020400 500 290</t>
  </si>
  <si>
    <t xml:space="preserve"> 0103 0020400 500 300</t>
  </si>
  <si>
    <t>Доходы от перечисления части прибыли остающейся</t>
  </si>
  <si>
    <t>0707 4310100 500 222</t>
  </si>
  <si>
    <t xml:space="preserve"> 0103 0020400 500 310</t>
  </si>
  <si>
    <t xml:space="preserve"> 0103 0020400 500 340</t>
  </si>
  <si>
    <t xml:space="preserve"> 0103 0021200 500 000</t>
  </si>
  <si>
    <t xml:space="preserve"> 0103 0021200 500 200</t>
  </si>
  <si>
    <t xml:space="preserve"> 0103 0021200 500 210</t>
  </si>
  <si>
    <t xml:space="preserve"> 0103 0021200 500 211</t>
  </si>
  <si>
    <t xml:space="preserve"> 0103 0021200 500 212</t>
  </si>
  <si>
    <t xml:space="preserve"> 0103 0021200 500 213</t>
  </si>
  <si>
    <t xml:space="preserve"> 0103 0021200 500 220</t>
  </si>
  <si>
    <t xml:space="preserve"> 0103 0021200 500 221</t>
  </si>
  <si>
    <t xml:space="preserve"> 0103 0021200 500 222</t>
  </si>
  <si>
    <t xml:space="preserve"> 0103 0021200 500 223</t>
  </si>
  <si>
    <t xml:space="preserve"> 0103 0021200 500 224</t>
  </si>
  <si>
    <t xml:space="preserve"> 0103 0021200 500 225</t>
  </si>
  <si>
    <t xml:space="preserve"> 0103 0021200 500 226</t>
  </si>
  <si>
    <t xml:space="preserve"> 0103 0021200 500 260</t>
  </si>
  <si>
    <t xml:space="preserve"> 0103 0021200 500 262</t>
  </si>
  <si>
    <t xml:space="preserve"> 0103 0021200 500 290</t>
  </si>
  <si>
    <t xml:space="preserve"> 0103 0021200 500 300</t>
  </si>
  <si>
    <t xml:space="preserve"> 0103 0021200 500 310</t>
  </si>
  <si>
    <t xml:space="preserve"> 0103 0021200 500 340</t>
  </si>
  <si>
    <t>Реализация государственных функций, связанных с общегосударственным управлением</t>
  </si>
  <si>
    <t xml:space="preserve"> 0114 0000000 000 260</t>
  </si>
  <si>
    <t>Пенсии,пособиявыплачиваемые организациями сектора гос.управления</t>
  </si>
  <si>
    <t xml:space="preserve"> 0103 0000000 000 000</t>
  </si>
  <si>
    <t xml:space="preserve"> 0103 0000000 000 200</t>
  </si>
  <si>
    <t xml:space="preserve"> 0103 0000000 000 210</t>
  </si>
  <si>
    <t xml:space="preserve"> 0103 0000000 000 211</t>
  </si>
  <si>
    <t xml:space="preserve"> 0103 0000000 000 212</t>
  </si>
  <si>
    <t xml:space="preserve"> 0103 0000000 000 213</t>
  </si>
  <si>
    <t xml:space="preserve"> 0103 0000000 000 220</t>
  </si>
  <si>
    <t xml:space="preserve"> 0103 0000000 000 221</t>
  </si>
  <si>
    <t xml:space="preserve"> 0103 0000000 000 222</t>
  </si>
  <si>
    <t xml:space="preserve"> 0103 0000000 000 223</t>
  </si>
  <si>
    <t xml:space="preserve"> 0103 0000000 000 224</t>
  </si>
  <si>
    <t xml:space="preserve"> 0103 0000000 000 225</t>
  </si>
  <si>
    <t xml:space="preserve"> 0103 0000000 000 226</t>
  </si>
  <si>
    <t xml:space="preserve"> 0103 0000000 000 260</t>
  </si>
  <si>
    <t xml:space="preserve"> 0103 0000000 000 290</t>
  </si>
  <si>
    <t xml:space="preserve"> 0103 0000000 000 300</t>
  </si>
  <si>
    <t xml:space="preserve"> 0103 0000000 000 310</t>
  </si>
  <si>
    <t xml:space="preserve"> 0103 0000000 000 340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</si>
  <si>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</si>
  <si>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</si>
  <si>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</si>
  <si>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>Прочие расходы</t>
  </si>
  <si>
    <t>Начисления на оплату труда</t>
  </si>
  <si>
    <t>Транспортные услуги</t>
  </si>
  <si>
    <t>(расшифровка подписи)</t>
  </si>
  <si>
    <t>10</t>
  </si>
  <si>
    <t>(подпись)</t>
  </si>
  <si>
    <t>Код строки</t>
  </si>
  <si>
    <t>Расходы</t>
  </si>
  <si>
    <t>Оплата труда и начисления на оплату труда</t>
  </si>
  <si>
    <t>Прочие выплаты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</si>
  <si>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</si>
  <si>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</si>
  <si>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</si>
  <si>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</si>
  <si>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</si>
  <si>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</si>
  <si>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</si>
  <si>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</si>
  <si>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</si>
  <si>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</si>
  <si>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</si>
  <si>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0500 0000000 000 226</t>
  </si>
  <si>
    <t>0500 0000000 000 223</t>
  </si>
  <si>
    <t>Наименование показателя</t>
  </si>
  <si>
    <t>Доходы от реализации иного имущества,находящегося в собственности поселений (за исключеникм имущества АУ и МУП, в т.ч. Казенных)</t>
  </si>
  <si>
    <t>0503 6000400 500 225</t>
  </si>
  <si>
    <t>1001 0000000 000 000</t>
  </si>
  <si>
    <t>Результат исполнения бюджета</t>
  </si>
  <si>
    <t>450</t>
  </si>
  <si>
    <t>7900 0000000 000 000</t>
  </si>
  <si>
    <t>3.Источники финансирования дефицита бюджета</t>
  </si>
  <si>
    <t>Единый сельскохозяйственный налог</t>
  </si>
  <si>
    <t>Прочие безвозмездные поступления в бюджеты поселений</t>
  </si>
  <si>
    <t>Председатель представительного органа муниципального образования</t>
  </si>
  <si>
    <t>200</t>
  </si>
  <si>
    <t>Транспорт</t>
  </si>
  <si>
    <t>Озеленение</t>
  </si>
  <si>
    <t>Образование</t>
  </si>
  <si>
    <t>Культура</t>
  </si>
  <si>
    <t>0800 0000000 000 000</t>
  </si>
  <si>
    <t>0800 0000000 000 200</t>
  </si>
  <si>
    <t>0800 0000000 000 340</t>
  </si>
  <si>
    <t>0801 5210142 001 000</t>
  </si>
  <si>
    <t>0801 5210142 001 200</t>
  </si>
  <si>
    <t>0801 5210142 001 210</t>
  </si>
  <si>
    <t>0801 5210142 001 211</t>
  </si>
  <si>
    <t>0801 5210142 001 212</t>
  </si>
  <si>
    <t>0801 5210142 001 213</t>
  </si>
  <si>
    <t>Выслуга лет культуры</t>
  </si>
  <si>
    <t>сельские культуры</t>
  </si>
  <si>
    <t>0801 5210143 001 000</t>
  </si>
  <si>
    <t>0801 5210143 001 200</t>
  </si>
  <si>
    <t>0801 5210143 001 210</t>
  </si>
  <si>
    <t>0801 5210143 001 211</t>
  </si>
  <si>
    <t>0801 5210143 001 213</t>
  </si>
  <si>
    <t>0801 4409902 001 213</t>
  </si>
  <si>
    <t>0801 4409902 001 220</t>
  </si>
  <si>
    <t>0801 4409902 001 221</t>
  </si>
  <si>
    <t>0801 4409902 001 222</t>
  </si>
  <si>
    <t>0801 4409902 001 223</t>
  </si>
  <si>
    <t>0801 4409902 001 224</t>
  </si>
  <si>
    <t>0801 4409902 001 225</t>
  </si>
  <si>
    <t>0801 4409902 001 226</t>
  </si>
  <si>
    <t>0801 4409902 001 260</t>
  </si>
  <si>
    <t>0801 4409902 001 262</t>
  </si>
  <si>
    <t>0801 4409902 001 290</t>
  </si>
  <si>
    <t>0801 4409902 001 300</t>
  </si>
  <si>
    <t>0801 4409902 001 310</t>
  </si>
  <si>
    <t>Культурно-спортивный комплекс</t>
  </si>
  <si>
    <t>0801 4409902 001 340</t>
  </si>
  <si>
    <t xml:space="preserve"> 0114 0013800 001 212</t>
  </si>
  <si>
    <t>0503 6000100 006 220</t>
  </si>
  <si>
    <t>0801 4409900 001 000</t>
  </si>
  <si>
    <t>0801 4409900 001 200</t>
  </si>
  <si>
    <t>0801 4409900 001 210</t>
  </si>
  <si>
    <t>0801 4409900 001 211</t>
  </si>
  <si>
    <t>0801 4409900 001 212</t>
  </si>
  <si>
    <t>0503 6000400 006 242</t>
  </si>
  <si>
    <t>0503 6000400 006 240</t>
  </si>
  <si>
    <t>0503 6000400 006 241</t>
  </si>
  <si>
    <t>Пенсии, пособия,выплачиваемые организациями сектора государственного управления</t>
  </si>
  <si>
    <t>Доплаты к пенсиям,дополнительное пенсионное обеспечение</t>
  </si>
  <si>
    <t xml:space="preserve">      Эльбанское городское поселение</t>
  </si>
  <si>
    <t>0801 4409903 001 212</t>
  </si>
  <si>
    <t>0801 4409903 001 220</t>
  </si>
  <si>
    <t>0801 4409903 001 221</t>
  </si>
  <si>
    <t>0801 4409903 001 222</t>
  </si>
  <si>
    <t>0801 4409903 001 223</t>
  </si>
  <si>
    <t>0801 4409903 001 224</t>
  </si>
  <si>
    <t>0801 4409903 001 225</t>
  </si>
  <si>
    <t>0801 4409903 001 226</t>
  </si>
  <si>
    <t>0801 4409903 001 260</t>
  </si>
  <si>
    <t>0801 4409903 001 262</t>
  </si>
  <si>
    <t>0801 4409903 001 290</t>
  </si>
  <si>
    <t>0801 4409903 001 300</t>
  </si>
  <si>
    <t>0801 4409903 001 310</t>
  </si>
  <si>
    <t>0801 4409903 001 340</t>
  </si>
  <si>
    <t xml:space="preserve">Дворцы и дома культуры </t>
  </si>
  <si>
    <t>0801 4419900 001 220</t>
  </si>
  <si>
    <t>0801 4419900 001 221</t>
  </si>
  <si>
    <t>0801 4419900 001 222</t>
  </si>
  <si>
    <t>0801 4419900 001 223</t>
  </si>
  <si>
    <t>0801 4419900 001 224</t>
  </si>
  <si>
    <t>0801 4419900 001 225</t>
  </si>
  <si>
    <t>0801 4419900 001 226</t>
  </si>
  <si>
    <t>0801 4419900 001 260</t>
  </si>
  <si>
    <t>0801 4419900 001 202</t>
  </si>
  <si>
    <t>0801 4419900 001 290</t>
  </si>
  <si>
    <t>0801 4419900 001 300</t>
  </si>
  <si>
    <t>0801 4419900 001 310</t>
  </si>
  <si>
    <t>0801 4419900 001 340</t>
  </si>
  <si>
    <t>Библиотеки</t>
  </si>
  <si>
    <t>Физическая культура и спорт</t>
  </si>
  <si>
    <t>Транспортный налог с организаций</t>
  </si>
  <si>
    <t>Субвенции бюджетам поселений на государственную регистрацию актов гражданского состояния</t>
  </si>
  <si>
    <t>х</t>
  </si>
  <si>
    <t>Дата</t>
  </si>
  <si>
    <t>3</t>
  </si>
  <si>
    <t>в том числе:</t>
  </si>
  <si>
    <t>010</t>
  </si>
  <si>
    <t>0502 0000000 000 000</t>
  </si>
  <si>
    <t>Коммунальное хозяйство</t>
  </si>
  <si>
    <t>0502 0000000 000 200</t>
  </si>
  <si>
    <t>0502 0000000 000 220</t>
  </si>
  <si>
    <t>0502 0000000 000 225</t>
  </si>
  <si>
    <t>Благоустройство</t>
  </si>
  <si>
    <t>0503 6000100 500 225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</si>
  <si>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</si>
  <si>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</si>
  <si>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</si>
  <si>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</si>
  <si>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в том числе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</si>
  <si>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</si>
  <si>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</si>
  <si>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</si>
  <si>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</si>
  <si>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</si>
  <si>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</si>
  <si>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Источники финансирования дефицита бюджетов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</si>
  <si>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</si>
  <si>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</t>
  </si>
  <si>
    <t>0501 0000000 000 000</t>
  </si>
  <si>
    <t>0501 0000000 000 200</t>
  </si>
  <si>
    <t>0501 0000000 000 220</t>
  </si>
  <si>
    <t>Мероприятия в области коммунального хозяйства</t>
  </si>
  <si>
    <t>0501 3500300 006 000</t>
  </si>
  <si>
    <t>0500 0000000 000 240</t>
  </si>
  <si>
    <t>0501 3500300 006 200</t>
  </si>
  <si>
    <t>0501 3500300 006 240</t>
  </si>
  <si>
    <t>0501 3500300 006 242</t>
  </si>
  <si>
    <t>Безвозмездные и безвозвратные перечисления организациям, кроме гос.и муниципальным орг-циям</t>
  </si>
  <si>
    <t>0501 0000000 000 242</t>
  </si>
  <si>
    <t>Безвозмездные и безвозвратные перечисления орг-м.кроме гос.и муниципальным орг-циям</t>
  </si>
  <si>
    <t>0500 0000000 000 242</t>
  </si>
  <si>
    <t>Безвозмездные и безвозвратные перечисления орг-м, кроме гос.и муниципальным орг-циям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</si>
  <si>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</si>
  <si>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0501 0000000 000 226</t>
  </si>
  <si>
    <t xml:space="preserve"> 0113 0000000 000 000</t>
  </si>
  <si>
    <t xml:space="preserve"> 0113 0000000 000 200</t>
  </si>
  <si>
    <t xml:space="preserve"> 0113 0000000 000 220</t>
  </si>
  <si>
    <t xml:space="preserve"> 0113 0000000 000 226</t>
  </si>
  <si>
    <t xml:space="preserve"> 0113 0000000 000 262</t>
  </si>
  <si>
    <t xml:space="preserve"> 0113 0000000 000 290</t>
  </si>
  <si>
    <t>Организация и содержание мест захоронения</t>
  </si>
  <si>
    <t>Массовый спорт</t>
  </si>
  <si>
    <t>1100 0000000 000 000</t>
  </si>
  <si>
    <t>1102 0000000 000 000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</si>
  <si>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МАУ)</t>
  </si>
  <si>
    <t>Код дохода по бюджетной классификации</t>
  </si>
  <si>
    <t>Код расхода по бюджетной классификации</t>
  </si>
  <si>
    <t>Форма по ОКУД</t>
  </si>
  <si>
    <t>Глава по БК</t>
  </si>
  <si>
    <t>Наименование финансового органа         Администрация Эльбанского городского поселения</t>
  </si>
  <si>
    <t>ЗАГС (федерация)</t>
  </si>
  <si>
    <t>Дорожное хозяйство</t>
  </si>
  <si>
    <t>0501 0000000 000 240</t>
  </si>
  <si>
    <t xml:space="preserve"> 0300 0000000 000 200</t>
  </si>
  <si>
    <t xml:space="preserve"> 0300 0000000 000 210</t>
  </si>
  <si>
    <t xml:space="preserve"> 0300 0000000 000 211</t>
  </si>
  <si>
    <t xml:space="preserve"> 0300 0000000 000 213</t>
  </si>
  <si>
    <t xml:space="preserve"> 0300 0000000 000 220</t>
  </si>
  <si>
    <t xml:space="preserve"> 0300 0000000 000 226</t>
  </si>
  <si>
    <t xml:space="preserve"> 0300 0000000 000 300</t>
  </si>
  <si>
    <t>0300 0000000 000 310</t>
  </si>
  <si>
    <t xml:space="preserve"> 0300 0000000 000 340</t>
  </si>
  <si>
    <t>гос.поддержка в сфере культуры</t>
  </si>
  <si>
    <t>Выборы главы</t>
  </si>
  <si>
    <t>0502 0000000 000 226</t>
  </si>
  <si>
    <t>04103435</t>
  </si>
  <si>
    <t>Рефервный фонд</t>
  </si>
  <si>
    <t>Программа "Развитие муниципальной службы в Эльбанском городском поселении 2012-2014гг"</t>
  </si>
  <si>
    <t>Безвозмездные перечисления гос. и муниципальным организациям</t>
  </si>
  <si>
    <t>Безвозмездные перечисления  организациям</t>
  </si>
  <si>
    <t>0800 0000000 000 240</t>
  </si>
  <si>
    <t>0800 0000000 000 241</t>
  </si>
  <si>
    <t>01000000000000000</t>
  </si>
  <si>
    <t>01000000000000200</t>
  </si>
  <si>
    <t>01000000000000210</t>
  </si>
  <si>
    <t>01000000000000211</t>
  </si>
  <si>
    <t>01000000000000212</t>
  </si>
  <si>
    <t>01000000000000213</t>
  </si>
  <si>
    <t>01000000000000220</t>
  </si>
  <si>
    <t>01000000000000221</t>
  </si>
  <si>
    <t>01000000000000222</t>
  </si>
  <si>
    <t>01000000000000223</t>
  </si>
  <si>
    <t>01000000000000225</t>
  </si>
  <si>
    <t>01000000000000226</t>
  </si>
  <si>
    <t>01000000000000290</t>
  </si>
  <si>
    <t>01000000000000300</t>
  </si>
  <si>
    <t>01000000000000310</t>
  </si>
  <si>
    <t>01000000000000340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</si>
  <si>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 и 228 Налогового кодекса Российской Федерации </t>
    </r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</si>
  <si>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</si>
  <si>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</si>
  <si>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</si>
  <si>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</si>
  <si>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0502 0000000 000 310</t>
  </si>
  <si>
    <t>0502 7950100 500 300</t>
  </si>
  <si>
    <t>0502 7950100 500 310</t>
  </si>
  <si>
    <t>0500 0000000 000 310</t>
  </si>
  <si>
    <t>0800 0000000 000 290</t>
  </si>
  <si>
    <t>0502 0000000 000 300</t>
  </si>
  <si>
    <t>0503 6000300 500 310</t>
  </si>
  <si>
    <t>0503 6000300 500 300</t>
  </si>
  <si>
    <t>Работы, услуги по содержанию имущества</t>
  </si>
  <si>
    <t>Глава поселения</t>
  </si>
  <si>
    <t>И.А.Гудин</t>
  </si>
  <si>
    <t>01 02 00 00 00 0000 000</t>
  </si>
  <si>
    <t>90 00 00 00 00 0000 000</t>
  </si>
  <si>
    <t>01 02 00 00 10 0000 700</t>
  </si>
  <si>
    <t>01 02 00 00 10 0000 710</t>
  </si>
  <si>
    <t>Погашение кредитов от кредитных организаций бюджетами поселений в валюте Российской Федерации</t>
  </si>
  <si>
    <t>01 02 00 00 10 0000 810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</si>
  <si>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</si>
  <si>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</si>
  <si>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01 02 00 00 10 0000 800</t>
  </si>
  <si>
    <t>520</t>
  </si>
  <si>
    <t xml:space="preserve">Изменение остатков средств </t>
  </si>
  <si>
    <t>700</t>
  </si>
  <si>
    <t>в том числе                                                                            источники внутреннего финансирования дефицита бюджета</t>
  </si>
  <si>
    <t>источники внешнего финансирования дефицита бюджета</t>
  </si>
  <si>
    <t>620</t>
  </si>
  <si>
    <t>Прочие поступления от денежных взысканий (штрафов) и иных сумм в возмещение ущерба, зачисляемые в бюджеты поселений</t>
  </si>
  <si>
    <t>Оплата работ,услуг</t>
  </si>
  <si>
    <t>0500 0000000 000 300</t>
  </si>
  <si>
    <t>0500 0000000 000 340</t>
  </si>
  <si>
    <t>0800 0000000 000 220</t>
  </si>
  <si>
    <t>0800 0000000 000 222</t>
  </si>
  <si>
    <t>Доходы от продажи земельных участков,гос.собственность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</si>
  <si>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</t>
  </si>
  <si>
    <t>0309 2180100 500 340</t>
  </si>
  <si>
    <t xml:space="preserve"> 0309 2180100 500 300</t>
  </si>
  <si>
    <t xml:space="preserve"> 0102 0020300 121 212</t>
  </si>
  <si>
    <t xml:space="preserve"> 0103 0021100 121 212</t>
  </si>
  <si>
    <t>201</t>
  </si>
  <si>
    <t>Переданные полномочия поселений по вопросам местного значения</t>
  </si>
  <si>
    <t>Безвозмездные перечисления бюджетам</t>
  </si>
  <si>
    <t>Перечисления другим бюджетам бюджетной сферы РФ</t>
  </si>
  <si>
    <t>0107 0200002 244 000</t>
  </si>
  <si>
    <t>0107 0200002 244 200</t>
  </si>
  <si>
    <t xml:space="preserve"> 0309 0000000 000 000</t>
  </si>
  <si>
    <t>ГО и ЧС</t>
  </si>
  <si>
    <t xml:space="preserve"> 0309 0000000 000 220</t>
  </si>
  <si>
    <t xml:space="preserve"> 0309 0000000 000 226</t>
  </si>
  <si>
    <t>МЦП "Профилактика терроризма и экстремизма на территории ЭГП"</t>
  </si>
  <si>
    <t>Безвозмездные перечисления</t>
  </si>
  <si>
    <t>Перечисления другим бюджетам бюджетной системы Российской Федерации</t>
  </si>
  <si>
    <t>01000000000000250</t>
  </si>
  <si>
    <t>01000000000000251</t>
  </si>
  <si>
    <t>МЦП "Обеспечение первичных мер пожарной безопасности на территории ЭГП на 2013-2016гг"</t>
  </si>
  <si>
    <t>МЦП "Комплексного развития системы коммунальной инфраструктуры ЭГП 2011-2020гг"</t>
  </si>
  <si>
    <t>0501 7950600 244 200</t>
  </si>
  <si>
    <t>0501 7950600 244 226</t>
  </si>
  <si>
    <t>0501 7950600 810 000</t>
  </si>
  <si>
    <t>Субсидии юридическим лицам</t>
  </si>
  <si>
    <t>0501 7950600 244 220</t>
  </si>
  <si>
    <t>0501 7950600 810 240</t>
  </si>
  <si>
    <t>0501 7950600 810 242</t>
  </si>
  <si>
    <t>МЦП "По восстановлению уличного освещения территории ЭГП на 2013-2020гг"</t>
  </si>
  <si>
    <t>Субсидии на иные цели (БС)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</si>
  <si>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</si>
  <si>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0107 0200002 244 290</t>
  </si>
  <si>
    <t>Программа "Развитие информационно-коммуникационных технологий в Эльбанском городском поселении на 2013-2015гг"</t>
  </si>
  <si>
    <t>Усулги по содержанию имущества</t>
  </si>
  <si>
    <t>0113 0000000 000 300</t>
  </si>
  <si>
    <t>0113 0000000 000 310</t>
  </si>
  <si>
    <t>0113 0000000 000 340</t>
  </si>
  <si>
    <t>0113 0000000 000 221</t>
  </si>
  <si>
    <t>0113 0000000 000 225</t>
  </si>
  <si>
    <t>0501 0000000 000 225</t>
  </si>
  <si>
    <t>Программа "энергоснабжение ЭГП.."</t>
  </si>
  <si>
    <t xml:space="preserve"> 0104 0020400 242 221</t>
  </si>
  <si>
    <t>0409 0000000 240 000</t>
  </si>
  <si>
    <t>по ОКТМО</t>
  </si>
  <si>
    <t xml:space="preserve"> 0102 7100300 121 211</t>
  </si>
  <si>
    <t xml:space="preserve"> 0102 7100300 121 213</t>
  </si>
  <si>
    <t xml:space="preserve"> 0102 7100300 121 210</t>
  </si>
  <si>
    <t xml:space="preserve"> 0102 7100300 000 200</t>
  </si>
  <si>
    <t xml:space="preserve"> 0102 7100300 000 000</t>
  </si>
  <si>
    <t xml:space="preserve"> 0103 7211100 000 000</t>
  </si>
  <si>
    <t xml:space="preserve"> 0103 7211100000 200</t>
  </si>
  <si>
    <t xml:space="preserve"> 0103 7211100 121 210</t>
  </si>
  <si>
    <t xml:space="preserve"> 0103 7211100 121 211</t>
  </si>
  <si>
    <t xml:space="preserve"> 0103 7211100 121 213</t>
  </si>
  <si>
    <t xml:space="preserve"> 0104 7410400 121 211</t>
  </si>
  <si>
    <t xml:space="preserve">Прочие выплаты </t>
  </si>
  <si>
    <t xml:space="preserve"> 0104 7410400 121 213</t>
  </si>
  <si>
    <t>0104 7410400 122 000</t>
  </si>
  <si>
    <t>0104 7410400 122 212</t>
  </si>
  <si>
    <t>0104 7410400 122 222</t>
  </si>
  <si>
    <t>0104 7410400 122 226</t>
  </si>
  <si>
    <t xml:space="preserve"> 0104 7410400 244 220</t>
  </si>
  <si>
    <t xml:space="preserve"> 0104 7410400 244 221</t>
  </si>
  <si>
    <t xml:space="preserve"> 0104 7410400 244 226</t>
  </si>
  <si>
    <t xml:space="preserve"> 0104 7410400 244 223</t>
  </si>
  <si>
    <t xml:space="preserve"> 0104 7410400 244 225</t>
  </si>
  <si>
    <t xml:space="preserve"> 0104 7410400 244 290</t>
  </si>
  <si>
    <t xml:space="preserve"> 0104 7410400 244 300</t>
  </si>
  <si>
    <t xml:space="preserve"> 0104 7410400 244 310</t>
  </si>
  <si>
    <t xml:space="preserve"> 0104 7410400 244 340</t>
  </si>
  <si>
    <t xml:space="preserve"> 0104 7410400 851 290</t>
  </si>
  <si>
    <t xml:space="preserve"> 0104 7410400 852 290</t>
  </si>
  <si>
    <t>0104 7410П32 244 340</t>
  </si>
  <si>
    <t>18210102010011000110</t>
  </si>
  <si>
    <t>18210102010014000110</t>
  </si>
  <si>
    <t>18210102020011000110</t>
  </si>
  <si>
    <t>18210102030013000110</t>
  </si>
  <si>
    <t>Доходы от уплаты акцизов на дизельное топливо</t>
  </si>
  <si>
    <t>10010302230010000110</t>
  </si>
  <si>
    <t>Доходы от уплаты акцизов на моторные масла для дизельных и (или) карбюраторных (инжекторных) двигателей</t>
  </si>
  <si>
    <t>10010302240010000110</t>
  </si>
  <si>
    <t>Доходы от уплаты акцизов на автомобильный бензин, производимый на территории РФ</t>
  </si>
  <si>
    <t>10010302250010000110</t>
  </si>
  <si>
    <t>Доходы от уплаты акцизов на прямогонный бензин, производимый на территории РФ</t>
  </si>
  <si>
    <t>10010302260010000110</t>
  </si>
  <si>
    <t>18210501011011000110</t>
  </si>
  <si>
    <t>18210501021011000110</t>
  </si>
  <si>
    <t>18210502010021000110</t>
  </si>
  <si>
    <t>18210502010022100110</t>
  </si>
  <si>
    <t>18210502010023000110</t>
  </si>
  <si>
    <t>18210601030131000110</t>
  </si>
  <si>
    <t>18210604011021000110</t>
  </si>
  <si>
    <t>18210604012021000110</t>
  </si>
  <si>
    <t>18210604012022100110</t>
  </si>
  <si>
    <t>18210604012024000110</t>
  </si>
  <si>
    <t>18210606033131000110</t>
  </si>
  <si>
    <t>18210606043131000110</t>
  </si>
  <si>
    <t>18210606043132100110</t>
  </si>
  <si>
    <t>10210804020011000110</t>
  </si>
  <si>
    <t>Земельный налог( по обязательствам, возникшим до 1 января 2006 года)</t>
  </si>
  <si>
    <t>18210904053132100110</t>
  </si>
  <si>
    <t>18210904053133000110</t>
  </si>
  <si>
    <t>11111105013130003120</t>
  </si>
  <si>
    <t>10211105035130000120</t>
  </si>
  <si>
    <t>10211105075130000120</t>
  </si>
  <si>
    <t>Доходы от сдачи в аренду имущества, составляющего казну поселения (за исключением земельных участков)</t>
  </si>
  <si>
    <t>10211109045130000120</t>
  </si>
  <si>
    <t>10211107015130000120</t>
  </si>
  <si>
    <t>10211690050130000140</t>
  </si>
  <si>
    <t>87211651040020000140</t>
  </si>
  <si>
    <t xml:space="preserve">Денежные взыскания (штрафы), установленные законами субъектов РФ за несоблюдение муниципальных правовых актов, зачисляемые в бюджеты поселений </t>
  </si>
  <si>
    <t>10211402053130000410</t>
  </si>
  <si>
    <t>10211406025100000430</t>
  </si>
  <si>
    <t>11111406013130000430</t>
  </si>
  <si>
    <t>102020201001130000151</t>
  </si>
  <si>
    <t>10220202999130000151</t>
  </si>
  <si>
    <t>10220203015130000151</t>
  </si>
  <si>
    <t>10220204999130000151</t>
  </si>
  <si>
    <t>Субвенции на выполнение передаваемых полномочий субъектов РВ</t>
  </si>
  <si>
    <t>10220203024130000151</t>
  </si>
  <si>
    <t>10220705030130000180</t>
  </si>
  <si>
    <t>2. Расходы бюджета</t>
  </si>
  <si>
    <t xml:space="preserve"> 0104 7410400 000 000</t>
  </si>
  <si>
    <t xml:space="preserve"> 0104 0000000 000 000</t>
  </si>
  <si>
    <t xml:space="preserve"> 0104 7410400 000 200</t>
  </si>
  <si>
    <t>0104 7410400 000 210</t>
  </si>
  <si>
    <t>0104 7410400 000 211</t>
  </si>
  <si>
    <t>0104 7410400 000 212</t>
  </si>
  <si>
    <t>0104 7410400 000 213</t>
  </si>
  <si>
    <t>0104 7410400 000 220</t>
  </si>
  <si>
    <t>0104 7410400 000 221</t>
  </si>
  <si>
    <t>0104 7410400 000 222</t>
  </si>
  <si>
    <t>0104 7410400 000 223</t>
  </si>
  <si>
    <t>0104 7410400 000 225</t>
  </si>
  <si>
    <t>0104 7410400 000 226</t>
  </si>
  <si>
    <t>0104 7410400 000 290</t>
  </si>
  <si>
    <t>0104 0000000 000 300</t>
  </si>
  <si>
    <t>0104 0000000 000 310</t>
  </si>
  <si>
    <t>0104 0000000 000 340</t>
  </si>
  <si>
    <t xml:space="preserve"> 0104 7410400 120 210</t>
  </si>
  <si>
    <t xml:space="preserve"> 0104 7410400 121 210</t>
  </si>
  <si>
    <t>Расходы на обеспечение работы административной комиссии</t>
  </si>
  <si>
    <t>0104 7410П32 000 000</t>
  </si>
  <si>
    <t>0104 7410П32 244 000</t>
  </si>
  <si>
    <t xml:space="preserve"> 0106 8520070 540 000</t>
  </si>
  <si>
    <t>0106 8520070 540 000</t>
  </si>
  <si>
    <t>0106 8520070 540 251</t>
  </si>
  <si>
    <t>0111 9990111 870 000</t>
  </si>
  <si>
    <t>0111 9990111 870 200</t>
  </si>
  <si>
    <t>0111 9990111 870 290</t>
  </si>
  <si>
    <t>Другие общегосударственные вопросы</t>
  </si>
  <si>
    <t>МЦП "Управление и распоряжение муниц. имуществом ЭГП на 2014-2016 годы"</t>
  </si>
  <si>
    <t xml:space="preserve"> 0113 1300412 000 000</t>
  </si>
  <si>
    <t xml:space="preserve"> 0113 1300412 000 200</t>
  </si>
  <si>
    <t xml:space="preserve"> 0113 1300412 000 220</t>
  </si>
  <si>
    <t xml:space="preserve"> 0113 1300412 244 223</t>
  </si>
  <si>
    <t xml:space="preserve"> 0113 1300412 244 226</t>
  </si>
  <si>
    <t xml:space="preserve">Прочие расходы </t>
  </si>
  <si>
    <t>0113 1300412 852 290</t>
  </si>
  <si>
    <t>0113 1300412 853 290</t>
  </si>
  <si>
    <t>0113 1300412 000 290</t>
  </si>
  <si>
    <t xml:space="preserve"> 0113 9990115 000 000</t>
  </si>
  <si>
    <t xml:space="preserve"> 0113 9990115 000 200</t>
  </si>
  <si>
    <t xml:space="preserve"> 0113 9990115 244 220</t>
  </si>
  <si>
    <t xml:space="preserve"> 0113 9990115 244 226</t>
  </si>
  <si>
    <t>0113 9990115 244 290</t>
  </si>
  <si>
    <t>0113 9990115 853 200</t>
  </si>
  <si>
    <t>0113 9990115 853 290</t>
  </si>
  <si>
    <t xml:space="preserve"> 0113 0130000 000 000</t>
  </si>
  <si>
    <t>Иные выплаты персоналу, за исключением фонда оплаты труда</t>
  </si>
  <si>
    <t>0113 0130000 122 000</t>
  </si>
  <si>
    <t>0113 0130000 122 212</t>
  </si>
  <si>
    <t xml:space="preserve">Транспортные расходы </t>
  </si>
  <si>
    <t>0113 0130000 122 222</t>
  </si>
  <si>
    <t>0113 0130000 122 226</t>
  </si>
  <si>
    <t xml:space="preserve"> 0113 0130000 244 200</t>
  </si>
  <si>
    <t xml:space="preserve"> 0113 0130000 244 220</t>
  </si>
  <si>
    <t xml:space="preserve"> 0113 0130000 244 226</t>
  </si>
  <si>
    <t>Программа "Развитие муниципальной службы в Эльбанском городском поселении 2012-2014гг" за счет средств ЭГП</t>
  </si>
  <si>
    <t xml:space="preserve"> 0113 0130244 000 000</t>
  </si>
  <si>
    <t>0113 0130244 122 000</t>
  </si>
  <si>
    <t>0113 0130244 122 212</t>
  </si>
  <si>
    <t>0113 0130244 122 222</t>
  </si>
  <si>
    <t>0113 0130244 122 226</t>
  </si>
  <si>
    <t xml:space="preserve"> 0113 0130244 244 200</t>
  </si>
  <si>
    <t xml:space="preserve"> 0113 0130244 244 220</t>
  </si>
  <si>
    <t xml:space="preserve"> 0113 0130244 244 226</t>
  </si>
  <si>
    <t xml:space="preserve"> 0113 1010244 242 220</t>
  </si>
  <si>
    <t xml:space="preserve"> 0113 1010244 242 221</t>
  </si>
  <si>
    <t xml:space="preserve"> 0113 1010244 242 225</t>
  </si>
  <si>
    <t xml:space="preserve"> 0113 1010244 242 226</t>
  </si>
  <si>
    <t xml:space="preserve"> 0113 1010244 244 220</t>
  </si>
  <si>
    <t xml:space="preserve"> 0113 1010244 244 225</t>
  </si>
  <si>
    <t xml:space="preserve"> 0113 1010244 244 300</t>
  </si>
  <si>
    <t xml:space="preserve"> 0113 1010244 244 310</t>
  </si>
  <si>
    <t xml:space="preserve"> 0113 1010244 244 340</t>
  </si>
  <si>
    <t>0113 1010244 000 000</t>
  </si>
  <si>
    <t>0113 1141100 000 000</t>
  </si>
  <si>
    <t>0113 1141100 244 220</t>
  </si>
  <si>
    <t>0113 1141100 244 225</t>
  </si>
  <si>
    <t xml:space="preserve"> 0203 7415118 000 000</t>
  </si>
  <si>
    <t xml:space="preserve"> 0203 7415118 000 200</t>
  </si>
  <si>
    <t xml:space="preserve"> 0203 7415118 121 210</t>
  </si>
  <si>
    <t xml:space="preserve"> 0203 7415118 121 211</t>
  </si>
  <si>
    <t xml:space="preserve"> 0203 7415118 121 213</t>
  </si>
  <si>
    <t>0203 7415118 122 000</t>
  </si>
  <si>
    <t xml:space="preserve"> 0203 7415118 122 212</t>
  </si>
  <si>
    <t xml:space="preserve"> 0203 7415118 122 226</t>
  </si>
  <si>
    <t>Прочие выплаты за исключением фонда оплаты труда</t>
  </si>
  <si>
    <t xml:space="preserve"> 0203 7415118 122 222</t>
  </si>
  <si>
    <t xml:space="preserve"> 0203 7415118 244 221</t>
  </si>
  <si>
    <t xml:space="preserve"> 0203 7415118 244 223</t>
  </si>
  <si>
    <t xml:space="preserve"> 0203 7415118 244 225</t>
  </si>
  <si>
    <t xml:space="preserve"> 0203 7415118 244 300</t>
  </si>
  <si>
    <t xml:space="preserve"> 0203 7415118 244 310</t>
  </si>
  <si>
    <t xml:space="preserve"> 0203 7415118 244 340</t>
  </si>
  <si>
    <t xml:space="preserve"> 204 7415118 000 300</t>
  </si>
  <si>
    <t>Перечисления другим бюджетам бюджетной системы РФ</t>
  </si>
  <si>
    <t>0300 0000000 000 251</t>
  </si>
  <si>
    <t>0304 7415930 000 000</t>
  </si>
  <si>
    <t xml:space="preserve"> 0304 7415930 000 200</t>
  </si>
  <si>
    <t xml:space="preserve"> 0304 7415930 121 210</t>
  </si>
  <si>
    <t xml:space="preserve"> 0304 7415930 121 211</t>
  </si>
  <si>
    <t xml:space="preserve"> 0304 7415930 121 213</t>
  </si>
  <si>
    <t xml:space="preserve"> 0309 0000000 000 225</t>
  </si>
  <si>
    <t>0309 0000000 000251</t>
  </si>
  <si>
    <t xml:space="preserve"> 0309 0210200 244 220</t>
  </si>
  <si>
    <t xml:space="preserve"> 0309 0210200 244 226</t>
  </si>
  <si>
    <t>0309 0210070 540 251</t>
  </si>
  <si>
    <t>0309 0320300 000 000</t>
  </si>
  <si>
    <t xml:space="preserve"> 0309 0320300 244 200</t>
  </si>
  <si>
    <t>Оплата работ, услуг</t>
  </si>
  <si>
    <t xml:space="preserve"> 0309 0320300 244 220</t>
  </si>
  <si>
    <t>0309 0320300 244 226</t>
  </si>
  <si>
    <t xml:space="preserve">Безвозмездные и безвозвратные перечисления организациям, кроме гос. и муниц. </t>
  </si>
  <si>
    <t>0400 0000000 000 242</t>
  </si>
  <si>
    <t>МЦП "Развитие сельского хозяйства ЭГП на 2014-2020 гг"</t>
  </si>
  <si>
    <t>0405 1200000 000 000</t>
  </si>
  <si>
    <t>0405 1211200 244 200</t>
  </si>
  <si>
    <t>Приобретение работ, услуг</t>
  </si>
  <si>
    <t>0405 1211200 244 220</t>
  </si>
  <si>
    <t>0405 1211200 244 226</t>
  </si>
  <si>
    <t>0405 1231200 810 242</t>
  </si>
  <si>
    <t>0405 1221200 244 290</t>
  </si>
  <si>
    <t>0408 9990408 810 000</t>
  </si>
  <si>
    <t>0408 9990408 810 200</t>
  </si>
  <si>
    <t>0408 9990408 810 240</t>
  </si>
  <si>
    <t>0408 9990408 810 241</t>
  </si>
  <si>
    <t xml:space="preserve">МЦП по ремонту автомобильных дорог, дворовых территорий и подъездных дорог к дворовым территориям </t>
  </si>
  <si>
    <t xml:space="preserve">Ремонт автомобильных дорог в рамках МЦП по ремонту автомобильных дорог, дворовых территорий и подъездных дорог к дворовым территориям </t>
  </si>
  <si>
    <t>0409 0670401 000 000</t>
  </si>
  <si>
    <t>0409 0670401 244 220</t>
  </si>
  <si>
    <t>0409 0670401 244 225</t>
  </si>
  <si>
    <t xml:space="preserve">Ремонт дворовых территорий в рамках МЦП по ремонту автомобильных дорог, дворовых территорий и подъездных дорог к дворовым территориям  </t>
  </si>
  <si>
    <t>0409 0670402 000 000</t>
  </si>
  <si>
    <t>0409 0670402 244 220</t>
  </si>
  <si>
    <t>0409 0670402 244 225</t>
  </si>
  <si>
    <t xml:space="preserve">Содержание дорог в рамках МЦП по ремонту автомобильных дорог, дворовых территорий и подъездных дорог к дворовым территориям  </t>
  </si>
  <si>
    <t>0409 0670403 240 220</t>
  </si>
  <si>
    <t>0409 0670403 000 000</t>
  </si>
  <si>
    <t>0409 0670403 244 225</t>
  </si>
  <si>
    <t>МЦП "Управление и распоряжение муниципальным имуществом ЭГП на 2014-2016 гг"</t>
  </si>
  <si>
    <t>0412 1300412 000 000</t>
  </si>
  <si>
    <t>0412 1300412 244 200</t>
  </si>
  <si>
    <t>0412 1300412 244 220</t>
  </si>
  <si>
    <t>0412 1300412 244 226</t>
  </si>
  <si>
    <t>МЦП "Развитие и поддержка малого и среднего предпринимательства"</t>
  </si>
  <si>
    <t>0412 0500000 000 000</t>
  </si>
  <si>
    <t xml:space="preserve">Мероприятия в рамках МЦП </t>
  </si>
  <si>
    <t>0412 0510500 000 200</t>
  </si>
  <si>
    <t>0412 0510500 810 242</t>
  </si>
  <si>
    <t>Реализация доп.мероприятий, направленных на снижение напряженности на рынке труда в рамках МЦП "Развитие и поддержка малого и среднего предпринимательства"</t>
  </si>
  <si>
    <t>0412 0520500 000 000</t>
  </si>
  <si>
    <t>0412 0520500 244 200</t>
  </si>
  <si>
    <t>0412 0520500 244 290</t>
  </si>
  <si>
    <t>0501 0600000 000 000</t>
  </si>
  <si>
    <t>Услуги по сбору платы за найм в рамках МЦП комплексного развития системы коммунальной инфраструктуры</t>
  </si>
  <si>
    <t>0501 0650810 244 200</t>
  </si>
  <si>
    <t>0501 0650810 244 220</t>
  </si>
  <si>
    <t>0501 0650810 244 226</t>
  </si>
  <si>
    <t>МЦП комплексного развития системы коммунальной инфраструктуры ЭГП на 2011-2020 гг</t>
  </si>
  <si>
    <t>0502 0600000 000 000</t>
  </si>
  <si>
    <t xml:space="preserve">Мероприятия по теплоснабжению в рамках МЦП комплексн развития системы коммунальной инфраструктуры ЭГП </t>
  </si>
  <si>
    <t>0502 0610000 000 000</t>
  </si>
  <si>
    <t>0502 0610000 244 200</t>
  </si>
  <si>
    <t>0502 0610030 244 225</t>
  </si>
  <si>
    <t xml:space="preserve">Мероприятия по водоотведению в рамках МЦП комплексн развития системы коммунальной инфраструктуры ЭГП </t>
  </si>
  <si>
    <t>0502 0620000 000 000</t>
  </si>
  <si>
    <t>0502 0620000 244 200</t>
  </si>
  <si>
    <t>0502 0620300 244 225</t>
  </si>
  <si>
    <t>0502 0620030 414 300</t>
  </si>
  <si>
    <t>0502 0620030 414 310</t>
  </si>
  <si>
    <t>Мероприятие в рамках МЦП комплексного развития системы коммунальной инффраструктуры</t>
  </si>
  <si>
    <t>0502 0630000 000 000</t>
  </si>
  <si>
    <t>0502 0630000 414 200</t>
  </si>
  <si>
    <t>0502 0630000 414 220</t>
  </si>
  <si>
    <t>Прочие работы, услуги</t>
  </si>
  <si>
    <t>0502 0630300 414 226</t>
  </si>
  <si>
    <t>0503 0000000 000 000</t>
  </si>
  <si>
    <t>0503 0000000 000 200</t>
  </si>
  <si>
    <t>0503 0000000 000 220</t>
  </si>
  <si>
    <t xml:space="preserve">Приобретение нефинансовых активов </t>
  </si>
  <si>
    <t>0503 0000000 000 223</t>
  </si>
  <si>
    <t>0503 0000000 000 225</t>
  </si>
  <si>
    <t>0503 0000000 000 226</t>
  </si>
  <si>
    <t xml:space="preserve">0503 0000000 000 300 </t>
  </si>
  <si>
    <t>0503 0000000 000 310</t>
  </si>
  <si>
    <t>0503 0640700 244 000</t>
  </si>
  <si>
    <t>0503 0640700 244 200</t>
  </si>
  <si>
    <t>0503 0640700 244 220</t>
  </si>
  <si>
    <t>0503 0640700 244 223</t>
  </si>
  <si>
    <t>0503 0640700 244 225</t>
  </si>
  <si>
    <t>0503 0640700 244 226</t>
  </si>
  <si>
    <t>0503 9996003 244 000</t>
  </si>
  <si>
    <t>0503 9996003 244 200</t>
  </si>
  <si>
    <t>0503 9996003 244 220</t>
  </si>
  <si>
    <t>0503 9996004 244 000</t>
  </si>
  <si>
    <t>0503 9996004 244 200</t>
  </si>
  <si>
    <t>0503 9996004 244 220</t>
  </si>
  <si>
    <t>0503 9996004 244 226</t>
  </si>
  <si>
    <t>0503 1400000 244 000</t>
  </si>
  <si>
    <t>0503 1406005 244 200</t>
  </si>
  <si>
    <t>0503 1406005 244 220</t>
  </si>
  <si>
    <t>0503 1406005 244 226</t>
  </si>
  <si>
    <t xml:space="preserve">Поступление нефинансовых активов </t>
  </si>
  <si>
    <t xml:space="preserve">увеличение стоимости основных средств </t>
  </si>
  <si>
    <t>0503 1406005 244 300</t>
  </si>
  <si>
    <t>0503 1406005 244 310</t>
  </si>
  <si>
    <t>0707 0000000 000 000</t>
  </si>
  <si>
    <t>МЦП "Реализация молодежной политики на территории ЭГП на 2013-2015 гг""</t>
  </si>
  <si>
    <t>0707 0840800 200 000</t>
  </si>
  <si>
    <t>0707 0840800 244 200</t>
  </si>
  <si>
    <t>0707 0840800 244 220</t>
  </si>
  <si>
    <t>0707 0840800 244 290</t>
  </si>
  <si>
    <t>0707 0840800 244 300</t>
  </si>
  <si>
    <t>0707 0840800 244 340</t>
  </si>
  <si>
    <t>0801 0000000 000 000</t>
  </si>
  <si>
    <t>0801 9994491 611 000</t>
  </si>
  <si>
    <t>0801 9994491 611 200</t>
  </si>
  <si>
    <t>0801 9994491 611 240</t>
  </si>
  <si>
    <t>0801 9994491 611 241</t>
  </si>
  <si>
    <t>0801 11411100 612 240</t>
  </si>
  <si>
    <t>0801 1141100 612 241</t>
  </si>
  <si>
    <t>МЦП по энергосбережению</t>
  </si>
  <si>
    <t>0801 9994492 611 000</t>
  </si>
  <si>
    <t>0801 9994492 611 241</t>
  </si>
  <si>
    <t>0801 9994492 611 200</t>
  </si>
  <si>
    <t>0801 9994492 611 240</t>
  </si>
  <si>
    <t>0801 9998500 000 000</t>
  </si>
  <si>
    <t>0801 9998500 244 200</t>
  </si>
  <si>
    <t>0801 9998500 244 220</t>
  </si>
  <si>
    <t>0801 9998500 244 222</t>
  </si>
  <si>
    <t>0801 9998500 244 300</t>
  </si>
  <si>
    <t>0801 9998500 244 340</t>
  </si>
  <si>
    <t>1001 9991001 000 200</t>
  </si>
  <si>
    <t>1001 9991001 321 200</t>
  </si>
  <si>
    <t>1001 9991001 321 260</t>
  </si>
  <si>
    <t>1001 9991001 321 263</t>
  </si>
  <si>
    <t>1102 0000000 000 200</t>
  </si>
  <si>
    <t>1102 0000000 000 220</t>
  </si>
  <si>
    <t>1102 0000000 000 222</t>
  </si>
  <si>
    <t>1102 0000000 000 300</t>
  </si>
  <si>
    <t>1102 0000000 000 240</t>
  </si>
  <si>
    <t>1102 0000000 000 241</t>
  </si>
  <si>
    <t>1102 0000000 000 290</t>
  </si>
  <si>
    <t>1102 0000000 000 340</t>
  </si>
  <si>
    <t>Физическая культура и спорт (МАУ)</t>
  </si>
  <si>
    <t>1102 9991102 620 000</t>
  </si>
  <si>
    <t>1102 9991102 621 200</t>
  </si>
  <si>
    <t>1102 9991102 621 240</t>
  </si>
  <si>
    <t>1102 9991102 621 241</t>
  </si>
  <si>
    <t>1102 9991102 622 200</t>
  </si>
  <si>
    <t>1102 9991102 622 241</t>
  </si>
  <si>
    <t>1102 0911102 000 000</t>
  </si>
  <si>
    <t>1102 0911102 244 220</t>
  </si>
  <si>
    <t>1102 0911102 000 200</t>
  </si>
  <si>
    <t>1102 0911102 244 222</t>
  </si>
  <si>
    <t>1102 0911102 244 290</t>
  </si>
  <si>
    <t>1102 0911102 000 300</t>
  </si>
  <si>
    <t>1102 0911102 244 340</t>
  </si>
  <si>
    <t>0113 0000000 000 223</t>
  </si>
  <si>
    <t>0113 0000000 000 222</t>
  </si>
  <si>
    <t xml:space="preserve">Прочие выплаты персоналу </t>
  </si>
  <si>
    <t>0113 0000000 000 210</t>
  </si>
  <si>
    <t>0113 0000000 000 212</t>
  </si>
  <si>
    <t>Главный специалист ОФБУиО</t>
  </si>
  <si>
    <t>А.Г. Бахмутова</t>
  </si>
  <si>
    <t>0503117</t>
  </si>
  <si>
    <t>10211105025130000120</t>
  </si>
  <si>
    <t>08603160051</t>
  </si>
  <si>
    <t>18210102030012100110</t>
  </si>
  <si>
    <t>18210604011023000110</t>
  </si>
  <si>
    <t>10211406013130000430</t>
  </si>
  <si>
    <t>Доходы от реализации земельных участков, госудаственная собственность на которые не разграничена</t>
  </si>
  <si>
    <t>0104 7410400 800 200</t>
  </si>
  <si>
    <t xml:space="preserve"> 0104 7410400 831 290</t>
  </si>
  <si>
    <t xml:space="preserve"> 0104 7410400 853 290</t>
  </si>
  <si>
    <t>0801 9998500 244 290</t>
  </si>
  <si>
    <t>0800 0000000 000 300</t>
  </si>
  <si>
    <t xml:space="preserve">Субсидия на повышение ОТ работникам культуры </t>
  </si>
  <si>
    <t>Безвозмездные перечисления организациям</t>
  </si>
  <si>
    <t>0801 9990С02 611 241</t>
  </si>
  <si>
    <t>18210501011012100110</t>
  </si>
  <si>
    <t>18210501011013000110</t>
  </si>
  <si>
    <t>18210501012011000110</t>
  </si>
  <si>
    <t>18210501012012100110</t>
  </si>
  <si>
    <t>МЦП "Благоустройство территории Проспекта ЭГП на 2014-2015 гг"</t>
  </si>
  <si>
    <t>10220203003130000151</t>
  </si>
  <si>
    <t>0502 0610300 244 225</t>
  </si>
  <si>
    <t xml:space="preserve"> 0203 7415118 244 200</t>
  </si>
  <si>
    <t xml:space="preserve">Субвенции на комплектование книжных фондов библиотек </t>
  </si>
  <si>
    <t>10220204025130000151</t>
  </si>
  <si>
    <t xml:space="preserve">Субсидии бюджетам ГП на строительство, модернизацию, ремонт и содержание автомобильных дорог общего пользования </t>
  </si>
  <si>
    <t>10220202041130000151</t>
  </si>
  <si>
    <t>18210102030011000110</t>
  </si>
  <si>
    <t>18210503010013000110</t>
  </si>
  <si>
    <t>18210601030132100110</t>
  </si>
  <si>
    <t>18210601030134000110</t>
  </si>
  <si>
    <t xml:space="preserve">Исполнение судебных актов </t>
  </si>
  <si>
    <t>0113 9990115 831 200</t>
  </si>
  <si>
    <t>0113 9990115 831 290</t>
  </si>
  <si>
    <t>Субсидии из краевого бюджета на софинансирование расходных обязательств по строительству, реконструкции, капитальному рамонту объектов дорожного хозяйства, находящихся в муниципальной собственности (в рамках МЦП)</t>
  </si>
  <si>
    <t>0409 0670000 000 000</t>
  </si>
  <si>
    <t>0501 0650810 244 225</t>
  </si>
  <si>
    <t>0801 9990И05 612 240</t>
  </si>
  <si>
    <t>0801 9990И05 612 241</t>
  </si>
  <si>
    <t>0801 00000000 612 000</t>
  </si>
  <si>
    <t>Субсидия на иные цели</t>
  </si>
  <si>
    <t>0801 9990И08 612 241</t>
  </si>
  <si>
    <t xml:space="preserve">Комплектование книжного фонда </t>
  </si>
  <si>
    <t>0801 9998500 244 310</t>
  </si>
  <si>
    <t xml:space="preserve">Увеличение стоимости основных средств </t>
  </si>
  <si>
    <t>0800 0000000 000 310</t>
  </si>
  <si>
    <t>18210606033132100110</t>
  </si>
  <si>
    <t>0503 9996003 244 226</t>
  </si>
  <si>
    <t>18210501021012100110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</si>
  <si>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</si>
  <si>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18210502020021000110</t>
  </si>
  <si>
    <t>18210502020022100110</t>
  </si>
  <si>
    <t>18210102010012100110</t>
  </si>
  <si>
    <t>18210102010013000110</t>
  </si>
  <si>
    <t>18210604011024000110</t>
  </si>
  <si>
    <t>18210604011022100110</t>
  </si>
  <si>
    <t xml:space="preserve">Денежные взыскания (штрафы), за нарушение законодательства РФ о контрактной системе в сфере закупок </t>
  </si>
  <si>
    <t>10211633050130000140</t>
  </si>
  <si>
    <t xml:space="preserve"> 0309 0210000 000 000</t>
  </si>
  <si>
    <t>18210102020012100110</t>
  </si>
  <si>
    <t>0409 0670403 244 226</t>
  </si>
  <si>
    <t>прочие работы, услуги</t>
  </si>
  <si>
    <t>0801 9995144 612 241</t>
  </si>
  <si>
    <t>0801 9990000 612 240</t>
  </si>
  <si>
    <t>0801 9990000 612 200</t>
  </si>
  <si>
    <t>0801 9990000 612 000</t>
  </si>
  <si>
    <t>18210102020013000110</t>
  </si>
  <si>
    <t>18210501011014000110</t>
  </si>
  <si>
    <t>10211105013130000120</t>
  </si>
  <si>
    <t>18210502020023000110</t>
  </si>
  <si>
    <t>18210606033133000110</t>
  </si>
  <si>
    <t>на 1 января</t>
  </si>
  <si>
    <t>2016г.</t>
  </si>
  <si>
    <t xml:space="preserve">Прочие неналоговые доходы </t>
  </si>
  <si>
    <t>10211705050130000180</t>
  </si>
  <si>
    <t>0412 0510500 244 290</t>
  </si>
  <si>
    <t>0412 0510500 244 200</t>
  </si>
  <si>
    <t>0503 1406005 244 340</t>
  </si>
  <si>
    <t>0503 0000000 000 340</t>
  </si>
  <si>
    <t>Субсидия БУ культуры на иные цели, направленная на повышение оплаты труда работников</t>
  </si>
  <si>
    <t>0801 9998501 612 241</t>
  </si>
  <si>
    <t>0801 9990000 600 240</t>
  </si>
  <si>
    <t>Субсидии БУ на финансовое обеспечение муниц задания на оказание услуг, направленная на повышение оплаты труда работников за счет субсидии краевого бюджета</t>
  </si>
  <si>
    <t xml:space="preserve">Субсидии БУ на повышение ОТ работников культуры </t>
  </si>
  <si>
    <t>0801 9990000 600 000</t>
  </si>
  <si>
    <t>0801 9990000 000 000</t>
  </si>
  <si>
    <t>0412 0000000 000 242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</si>
  <si>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штраф </t>
  </si>
  <si>
    <t>18210501021013000110</t>
  </si>
  <si>
    <t>0409 0670С28 244 225</t>
  </si>
  <si>
    <t>0409 0670С28 000 000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</si>
</sst>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&lt;=9999999]###\-####;\(###\)\ ###\-####"/>
    <numFmt numFmtId="169" formatCode="0.00_)"/>
    <numFmt numFmtId="170" formatCode="[$€-2]\ ###,000_);[Red]\([$€-2]\ ###,000\)"/>
    <numFmt numFmtId="171" formatCode="0.000000"/>
    <numFmt numFmtId="172" formatCode="0.000"/>
    <numFmt numFmtId="173" formatCode="0.0000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Arial Cyr"/>
      <family val="0"/>
    </font>
    <font>
      <sz val="8"/>
      <name val="Arial Unicode MS"/>
      <family val="2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/>
    </xf>
    <xf numFmtId="49" fontId="0" fillId="33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7" fillId="33" borderId="12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left" vertical="center" wrapText="1"/>
    </xf>
    <xf numFmtId="49" fontId="7" fillId="34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left" vertical="center" wrapText="1"/>
    </xf>
    <xf numFmtId="49" fontId="7" fillId="35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 wrapText="1"/>
    </xf>
    <xf numFmtId="0" fontId="11" fillId="34" borderId="12" xfId="0" applyFont="1" applyFill="1" applyBorder="1" applyAlignment="1">
      <alignment horizontal="left" vertical="center" wrapText="1"/>
    </xf>
    <xf numFmtId="0" fontId="9" fillId="35" borderId="0" xfId="0" applyFont="1" applyFill="1" applyAlignment="1">
      <alignment wrapText="1"/>
    </xf>
    <xf numFmtId="0" fontId="9" fillId="35" borderId="0" xfId="0" applyFont="1" applyFill="1" applyAlignment="1">
      <alignment/>
    </xf>
    <xf numFmtId="0" fontId="0" fillId="33" borderId="12" xfId="0" applyFill="1" applyBorder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/>
    </xf>
    <xf numFmtId="0" fontId="7" fillId="36" borderId="12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/>
    </xf>
    <xf numFmtId="49" fontId="7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wrapText="1"/>
    </xf>
    <xf numFmtId="0" fontId="9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4" borderId="0" xfId="0" applyFont="1" applyFill="1" applyAlignment="1">
      <alignment wrapText="1"/>
    </xf>
    <xf numFmtId="0" fontId="1" fillId="36" borderId="16" xfId="0" applyFont="1" applyFill="1" applyBorder="1" applyAlignment="1">
      <alignment horizontal="left" vertical="center" wrapText="1"/>
    </xf>
    <xf numFmtId="49" fontId="0" fillId="35" borderId="0" xfId="0" applyNumberFormat="1" applyFill="1" applyAlignment="1">
      <alignment horizontal="center"/>
    </xf>
    <xf numFmtId="0" fontId="10" fillId="35" borderId="0" xfId="0" applyFont="1" applyFill="1" applyAlignment="1">
      <alignment wrapText="1"/>
    </xf>
    <xf numFmtId="0" fontId="1" fillId="37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33" borderId="12" xfId="53" applyFill="1" applyBorder="1" applyAlignment="1">
      <alignment wrapText="1"/>
      <protection/>
    </xf>
    <xf numFmtId="0" fontId="7" fillId="0" borderId="12" xfId="53" applyFill="1" applyBorder="1" applyAlignment="1">
      <alignment wrapText="1"/>
      <protection/>
    </xf>
    <xf numFmtId="0" fontId="7" fillId="0" borderId="12" xfId="53" applyBorder="1" applyAlignment="1">
      <alignment wrapText="1"/>
      <protection/>
    </xf>
    <xf numFmtId="49" fontId="7" fillId="33" borderId="12" xfId="53" applyNumberFormat="1" applyFont="1" applyFill="1" applyBorder="1" applyAlignment="1">
      <alignment/>
      <protection/>
    </xf>
    <xf numFmtId="49" fontId="7" fillId="0" borderId="12" xfId="53" applyNumberFormat="1" applyFont="1" applyBorder="1" applyAlignment="1">
      <alignment/>
      <protection/>
    </xf>
    <xf numFmtId="49" fontId="7" fillId="33" borderId="12" xfId="53" applyNumberFormat="1" applyFill="1" applyBorder="1" applyAlignment="1">
      <alignment horizontal="center"/>
      <protection/>
    </xf>
    <xf numFmtId="49" fontId="7" fillId="0" borderId="12" xfId="53" applyNumberFormat="1" applyFill="1" applyBorder="1" applyAlignment="1">
      <alignment horizontal="center"/>
      <protection/>
    </xf>
    <xf numFmtId="49" fontId="7" fillId="0" borderId="12" xfId="53" applyNumberFormat="1" applyBorder="1" applyAlignment="1">
      <alignment horizontal="center"/>
      <protection/>
    </xf>
    <xf numFmtId="0" fontId="7" fillId="0" borderId="16" xfId="53" applyFill="1" applyBorder="1" applyAlignment="1">
      <alignment wrapText="1"/>
      <protection/>
    </xf>
    <xf numFmtId="49" fontId="7" fillId="36" borderId="17" xfId="0" applyNumberFormat="1" applyFont="1" applyFill="1" applyBorder="1" applyAlignment="1">
      <alignment horizontal="center"/>
    </xf>
    <xf numFmtId="49" fontId="7" fillId="35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49" fontId="11" fillId="36" borderId="12" xfId="0" applyNumberFormat="1" applyFont="1" applyFill="1" applyBorder="1" applyAlignment="1">
      <alignment horizontal="center"/>
    </xf>
    <xf numFmtId="49" fontId="7" fillId="36" borderId="18" xfId="0" applyNumberFormat="1" applyFont="1" applyFill="1" applyBorder="1" applyAlignment="1">
      <alignment horizontal="center"/>
    </xf>
    <xf numFmtId="49" fontId="11" fillId="36" borderId="19" xfId="0" applyNumberFormat="1" applyFont="1" applyFill="1" applyBorder="1" applyAlignment="1">
      <alignment horizontal="center"/>
    </xf>
    <xf numFmtId="49" fontId="11" fillId="34" borderId="12" xfId="0" applyNumberFormat="1" applyFont="1" applyFill="1" applyBorder="1" applyAlignment="1">
      <alignment horizontal="center"/>
    </xf>
    <xf numFmtId="49" fontId="11" fillId="35" borderId="12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1" fillId="37" borderId="0" xfId="0" applyNumberFormat="1" applyFont="1" applyFill="1" applyAlignment="1">
      <alignment horizontal="center"/>
    </xf>
    <xf numFmtId="49" fontId="1" fillId="37" borderId="12" xfId="0" applyNumberFormat="1" applyFont="1" applyFill="1" applyBorder="1" applyAlignment="1">
      <alignment horizontal="center"/>
    </xf>
    <xf numFmtId="0" fontId="1" fillId="37" borderId="12" xfId="0" applyFont="1" applyFill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0" fontId="7" fillId="0" borderId="12" xfId="0" applyFont="1" applyBorder="1" applyAlignment="1">
      <alignment/>
    </xf>
    <xf numFmtId="0" fontId="10" fillId="34" borderId="22" xfId="0" applyFont="1" applyFill="1" applyBorder="1" applyAlignment="1">
      <alignment wrapText="1"/>
    </xf>
    <xf numFmtId="14" fontId="0" fillId="0" borderId="13" xfId="0" applyNumberFormat="1" applyBorder="1" applyAlignment="1">
      <alignment horizontal="center"/>
    </xf>
    <xf numFmtId="2" fontId="0" fillId="33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2" fontId="0" fillId="35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0" borderId="20" xfId="0" applyNumberFormat="1" applyBorder="1" applyAlignment="1">
      <alignment/>
    </xf>
    <xf numFmtId="2" fontId="0" fillId="33" borderId="20" xfId="0" applyNumberFormat="1" applyFill="1" applyBorder="1" applyAlignment="1">
      <alignment/>
    </xf>
    <xf numFmtId="2" fontId="0" fillId="36" borderId="19" xfId="0" applyNumberFormat="1" applyFill="1" applyBorder="1" applyAlignment="1">
      <alignment/>
    </xf>
    <xf numFmtId="2" fontId="0" fillId="33" borderId="19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33" borderId="15" xfId="0" applyNumberForma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left" vertical="center" wrapText="1"/>
    </xf>
    <xf numFmtId="49" fontId="7" fillId="0" borderId="21" xfId="0" applyNumberFormat="1" applyFont="1" applyFill="1" applyBorder="1" applyAlignment="1">
      <alignment horizontal="center"/>
    </xf>
    <xf numFmtId="0" fontId="9" fillId="36" borderId="12" xfId="0" applyFont="1" applyFill="1" applyBorder="1" applyAlignment="1">
      <alignment wrapText="1"/>
    </xf>
    <xf numFmtId="49" fontId="0" fillId="36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6" fillId="35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2" fontId="0" fillId="34" borderId="15" xfId="0" applyNumberFormat="1" applyFill="1" applyBorder="1" applyAlignment="1">
      <alignment/>
    </xf>
    <xf numFmtId="49" fontId="7" fillId="36" borderId="1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2" fontId="0" fillId="0" borderId="12" xfId="0" applyNumberFormat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vertical="center" wrapText="1"/>
    </xf>
    <xf numFmtId="0" fontId="9" fillId="36" borderId="23" xfId="0" applyFont="1" applyFill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10" fillId="33" borderId="1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3" fillId="35" borderId="0" xfId="0" applyFont="1" applyFill="1" applyAlignment="1">
      <alignment wrapText="1"/>
    </xf>
    <xf numFmtId="0" fontId="15" fillId="0" borderId="0" xfId="0" applyFont="1" applyAlignment="1">
      <alignment horizontal="left" vertical="top" wrapText="1"/>
    </xf>
    <xf numFmtId="2" fontId="16" fillId="33" borderId="12" xfId="0" applyNumberFormat="1" applyFont="1" applyFill="1" applyBorder="1" applyAlignment="1">
      <alignment/>
    </xf>
    <xf numFmtId="0" fontId="7" fillId="38" borderId="12" xfId="0" applyFont="1" applyFill="1" applyBorder="1" applyAlignment="1">
      <alignment horizontal="left" vertical="center" wrapText="1"/>
    </xf>
    <xf numFmtId="0" fontId="10" fillId="35" borderId="12" xfId="0" applyFont="1" applyFill="1" applyBorder="1" applyAlignment="1">
      <alignment wrapText="1"/>
    </xf>
    <xf numFmtId="2" fontId="0" fillId="38" borderId="12" xfId="0" applyNumberFormat="1" applyFill="1" applyBorder="1" applyAlignment="1">
      <alignment/>
    </xf>
    <xf numFmtId="49" fontId="17" fillId="0" borderId="17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/>
    </xf>
    <xf numFmtId="49" fontId="7" fillId="35" borderId="15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wrapText="1"/>
    </xf>
    <xf numFmtId="0" fontId="9" fillId="34" borderId="12" xfId="0" applyFont="1" applyFill="1" applyBorder="1" applyAlignment="1">
      <alignment wrapText="1"/>
    </xf>
    <xf numFmtId="49" fontId="7" fillId="38" borderId="17" xfId="0" applyNumberFormat="1" applyFont="1" applyFill="1" applyBorder="1" applyAlignment="1">
      <alignment horizontal="center"/>
    </xf>
    <xf numFmtId="49" fontId="7" fillId="38" borderId="12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0" fillId="35" borderId="22" xfId="0" applyFont="1" applyFill="1" applyBorder="1" applyAlignment="1">
      <alignment wrapText="1"/>
    </xf>
    <xf numFmtId="2" fontId="0" fillId="35" borderId="0" xfId="0" applyNumberFormat="1" applyFill="1" applyAlignment="1">
      <alignment/>
    </xf>
    <xf numFmtId="49" fontId="7" fillId="33" borderId="12" xfId="53" applyNumberFormat="1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/>
      <protection/>
    </xf>
    <xf numFmtId="2" fontId="0" fillId="33" borderId="12" xfId="0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0" xfId="0" applyNumberFormat="1" applyFill="1" applyAlignment="1">
      <alignment/>
    </xf>
    <xf numFmtId="49" fontId="7" fillId="0" borderId="15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0" fontId="12" fillId="35" borderId="0" xfId="0" applyFont="1" applyFill="1" applyAlignment="1">
      <alignment wrapText="1"/>
    </xf>
    <xf numFmtId="49" fontId="0" fillId="35" borderId="12" xfId="0" applyNumberForma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right" vertical="center" wrapText="1"/>
    </xf>
    <xf numFmtId="2" fontId="7" fillId="33" borderId="12" xfId="0" applyNumberFormat="1" applyFont="1" applyFill="1" applyBorder="1" applyAlignment="1">
      <alignment horizontal="right" vertical="center" wrapText="1"/>
    </xf>
    <xf numFmtId="2" fontId="0" fillId="0" borderId="15" xfId="0" applyNumberFormat="1" applyBorder="1" applyAlignment="1">
      <alignment/>
    </xf>
    <xf numFmtId="0" fontId="13" fillId="35" borderId="12" xfId="0" applyFont="1" applyFill="1" applyBorder="1" applyAlignment="1">
      <alignment horizontal="center" wrapText="1"/>
    </xf>
    <xf numFmtId="49" fontId="13" fillId="35" borderId="12" xfId="0" applyNumberFormat="1" applyFont="1" applyFill="1" applyBorder="1" applyAlignment="1">
      <alignment horizontal="center" wrapText="1"/>
    </xf>
    <xf numFmtId="2" fontId="10" fillId="35" borderId="12" xfId="0" applyNumberFormat="1" applyFont="1" applyFill="1" applyBorder="1" applyAlignment="1">
      <alignment horizontal="right" wrapText="1"/>
    </xf>
    <xf numFmtId="49" fontId="7" fillId="0" borderId="19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19" xfId="0" applyNumberFormat="1" applyBorder="1" applyAlignment="1">
      <alignment horizontal="right"/>
    </xf>
    <xf numFmtId="0" fontId="10" fillId="35" borderId="12" xfId="0" applyFont="1" applyFill="1" applyBorder="1" applyAlignment="1">
      <alignment horizontal="center" wrapText="1"/>
    </xf>
    <xf numFmtId="49" fontId="10" fillId="35" borderId="12" xfId="0" applyNumberFormat="1" applyFont="1" applyFill="1" applyBorder="1" applyAlignment="1">
      <alignment horizontal="center" wrapText="1"/>
    </xf>
    <xf numFmtId="2" fontId="10" fillId="35" borderId="12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49" fontId="7" fillId="39" borderId="17" xfId="0" applyNumberFormat="1" applyFont="1" applyFill="1" applyBorder="1" applyAlignment="1">
      <alignment horizontal="center"/>
    </xf>
    <xf numFmtId="49" fontId="7" fillId="39" borderId="12" xfId="0" applyNumberFormat="1" applyFont="1" applyFill="1" applyBorder="1" applyAlignment="1">
      <alignment horizontal="center"/>
    </xf>
    <xf numFmtId="2" fontId="0" fillId="39" borderId="12" xfId="0" applyNumberFormat="1" applyFont="1" applyFill="1" applyBorder="1" applyAlignment="1">
      <alignment/>
    </xf>
    <xf numFmtId="0" fontId="19" fillId="36" borderId="16" xfId="0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0" fontId="7" fillId="12" borderId="12" xfId="0" applyFont="1" applyFill="1" applyBorder="1" applyAlignment="1">
      <alignment horizontal="left" vertical="center" wrapText="1"/>
    </xf>
    <xf numFmtId="49" fontId="7" fillId="12" borderId="17" xfId="0" applyNumberFormat="1" applyFont="1" applyFill="1" applyBorder="1" applyAlignment="1">
      <alignment horizontal="center"/>
    </xf>
    <xf numFmtId="49" fontId="7" fillId="12" borderId="12" xfId="0" applyNumberFormat="1" applyFont="1" applyFill="1" applyBorder="1" applyAlignment="1">
      <alignment horizontal="center"/>
    </xf>
    <xf numFmtId="2" fontId="0" fillId="12" borderId="12" xfId="0" applyNumberFormat="1" applyFill="1" applyBorder="1" applyAlignment="1">
      <alignment/>
    </xf>
    <xf numFmtId="0" fontId="7" fillId="0" borderId="12" xfId="0" applyNumberFormat="1" applyFont="1" applyBorder="1" applyAlignment="1">
      <alignment horizontal="left" vertical="top" wrapText="1"/>
    </xf>
    <xf numFmtId="2" fontId="0" fillId="0" borderId="12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0" fontId="7" fillId="0" borderId="12" xfId="0" applyFont="1" applyBorder="1" applyAlignment="1">
      <alignment vertical="top" wrapText="1"/>
    </xf>
    <xf numFmtId="0" fontId="9" fillId="34" borderId="22" xfId="0" applyFont="1" applyFill="1" applyBorder="1" applyAlignment="1">
      <alignment wrapText="1"/>
    </xf>
    <xf numFmtId="0" fontId="11" fillId="16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18" fillId="40" borderId="12" xfId="0" applyFont="1" applyFill="1" applyBorder="1" applyAlignment="1">
      <alignment wrapText="1"/>
    </xf>
    <xf numFmtId="49" fontId="7" fillId="40" borderId="17" xfId="0" applyNumberFormat="1" applyFont="1" applyFill="1" applyBorder="1" applyAlignment="1">
      <alignment horizontal="center"/>
    </xf>
    <xf numFmtId="49" fontId="7" fillId="40" borderId="12" xfId="0" applyNumberFormat="1" applyFont="1" applyFill="1" applyBorder="1" applyAlignment="1">
      <alignment horizontal="center"/>
    </xf>
    <xf numFmtId="2" fontId="0" fillId="40" borderId="12" xfId="0" applyNumberFormat="1" applyFill="1" applyBorder="1" applyAlignment="1">
      <alignment/>
    </xf>
    <xf numFmtId="0" fontId="10" fillId="12" borderId="22" xfId="0" applyFont="1" applyFill="1" applyBorder="1" applyAlignment="1">
      <alignment wrapText="1"/>
    </xf>
    <xf numFmtId="2" fontId="0" fillId="12" borderId="12" xfId="0" applyNumberFormat="1" applyFont="1" applyFill="1" applyBorder="1" applyAlignment="1">
      <alignment/>
    </xf>
    <xf numFmtId="2" fontId="0" fillId="12" borderId="15" xfId="0" applyNumberFormat="1" applyFill="1" applyBorder="1" applyAlignment="1">
      <alignment/>
    </xf>
    <xf numFmtId="0" fontId="7" fillId="12" borderId="0" xfId="0" applyFont="1" applyFill="1" applyBorder="1" applyAlignment="1">
      <alignment horizontal="left" vertical="center" wrapText="1"/>
    </xf>
    <xf numFmtId="0" fontId="18" fillId="12" borderId="12" xfId="0" applyFont="1" applyFill="1" applyBorder="1" applyAlignment="1">
      <alignment wrapText="1"/>
    </xf>
    <xf numFmtId="49" fontId="17" fillId="12" borderId="17" xfId="0" applyNumberFormat="1" applyFont="1" applyFill="1" applyBorder="1" applyAlignment="1">
      <alignment horizontal="center"/>
    </xf>
    <xf numFmtId="49" fontId="17" fillId="12" borderId="12" xfId="0" applyNumberFormat="1" applyFont="1" applyFill="1" applyBorder="1" applyAlignment="1">
      <alignment horizontal="center"/>
    </xf>
    <xf numFmtId="2" fontId="11" fillId="36" borderId="12" xfId="0" applyNumberFormat="1" applyFont="1" applyFill="1" applyBorder="1" applyAlignment="1">
      <alignment horizontal="right" vertical="center" wrapText="1"/>
    </xf>
    <xf numFmtId="0" fontId="10" fillId="40" borderId="22" xfId="0" applyFont="1" applyFill="1" applyBorder="1" applyAlignment="1">
      <alignment wrapText="1"/>
    </xf>
    <xf numFmtId="49" fontId="0" fillId="40" borderId="0" xfId="0" applyNumberFormat="1" applyFill="1" applyAlignment="1">
      <alignment horizontal="center"/>
    </xf>
    <xf numFmtId="0" fontId="7" fillId="40" borderId="12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left" wrapText="1"/>
    </xf>
    <xf numFmtId="0" fontId="9" fillId="35" borderId="24" xfId="0" applyFont="1" applyFill="1" applyBorder="1" applyAlignment="1">
      <alignment/>
    </xf>
    <xf numFmtId="49" fontId="7" fillId="35" borderId="19" xfId="0" applyNumberFormat="1" applyFont="1" applyFill="1" applyBorder="1" applyAlignment="1">
      <alignment horizontal="center"/>
    </xf>
    <xf numFmtId="0" fontId="1" fillId="12" borderId="17" xfId="0" applyFont="1" applyFill="1" applyBorder="1" applyAlignment="1">
      <alignment/>
    </xf>
    <xf numFmtId="49" fontId="7" fillId="12" borderId="2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2" fontId="11" fillId="12" borderId="16" xfId="0" applyNumberFormat="1" applyFont="1" applyFill="1" applyBorder="1" applyAlignment="1">
      <alignment horizontal="right" vertical="center" wrapText="1"/>
    </xf>
    <xf numFmtId="0" fontId="7" fillId="12" borderId="12" xfId="53" applyFill="1" applyBorder="1" applyAlignment="1">
      <alignment wrapText="1"/>
      <protection/>
    </xf>
    <xf numFmtId="49" fontId="0" fillId="0" borderId="25" xfId="0" applyNumberFormat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left" vertical="center" wrapText="1"/>
    </xf>
    <xf numFmtId="2" fontId="0" fillId="0" borderId="22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12" borderId="22" xfId="0" applyNumberFormat="1" applyFont="1" applyFill="1" applyBorder="1" applyAlignment="1">
      <alignment horizontal="center" wrapText="1"/>
    </xf>
    <xf numFmtId="2" fontId="0" fillId="12" borderId="22" xfId="0" applyNumberFormat="1" applyFont="1" applyFill="1" applyBorder="1" applyAlignment="1">
      <alignment horizontal="right" wrapText="1"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2" fontId="0" fillId="0" borderId="20" xfId="0" applyNumberForma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/>
    </xf>
    <xf numFmtId="0" fontId="1" fillId="36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center" vertical="center" wrapText="1"/>
    </xf>
    <xf numFmtId="49" fontId="11" fillId="36" borderId="12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03"/>
  <sheetViews>
    <sheetView tabSelected="1" view="pageBreakPreview" zoomScaleSheetLayoutView="100" workbookViewId="0" topLeftCell="A404">
      <selection activeCell="C419" sqref="C419"/>
    </sheetView>
  </sheetViews>
  <sheetFormatPr defaultColWidth="9.00390625" defaultRowHeight="12.75"/>
  <cols>
    <col min="1" max="1" width="30.875" style="0" customWidth="1"/>
    <col min="2" max="2" width="9.125" style="5" customWidth="1"/>
    <col min="3" max="3" width="20.625" style="5" customWidth="1"/>
    <col min="4" max="4" width="13.625" style="0" customWidth="1"/>
    <col min="5" max="5" width="12.00390625" style="0" customWidth="1"/>
    <col min="6" max="6" width="11.875" style="0" customWidth="1"/>
    <col min="7" max="7" width="9.625" style="0" bestFit="1" customWidth="1"/>
    <col min="8" max="9" width="11.625" style="0" bestFit="1" customWidth="1"/>
    <col min="10" max="10" width="9.625" style="0" bestFit="1" customWidth="1"/>
  </cols>
  <sheetData>
    <row r="1" ht="1.5" customHeight="1"/>
    <row r="2" spans="2:6" ht="16.5" thickBot="1">
      <c r="B2" s="238" t="s">
        <v>27</v>
      </c>
      <c r="C2" s="238"/>
      <c r="D2" s="238"/>
      <c r="F2" s="14" t="s">
        <v>26</v>
      </c>
    </row>
    <row r="3" spans="5:6" ht="12.75">
      <c r="E3" s="10" t="s">
        <v>341</v>
      </c>
      <c r="F3" s="210" t="s">
        <v>808</v>
      </c>
    </row>
    <row r="4" spans="2:6" ht="12.75">
      <c r="B4" s="11" t="s">
        <v>879</v>
      </c>
      <c r="C4" s="11"/>
      <c r="D4" s="11" t="s">
        <v>880</v>
      </c>
      <c r="E4" s="10" t="s">
        <v>287</v>
      </c>
      <c r="F4" s="81">
        <v>42370</v>
      </c>
    </row>
    <row r="5" spans="1:6" ht="12.75">
      <c r="A5" s="240" t="s">
        <v>343</v>
      </c>
      <c r="B5" s="241"/>
      <c r="C5" s="241"/>
      <c r="D5" s="241"/>
      <c r="E5" s="10" t="s">
        <v>25</v>
      </c>
      <c r="F5" s="119" t="s">
        <v>359</v>
      </c>
    </row>
    <row r="6" spans="1:6" ht="12.75">
      <c r="A6" s="241"/>
      <c r="B6" s="241"/>
      <c r="C6" s="241"/>
      <c r="D6" s="241"/>
      <c r="E6" s="10" t="s">
        <v>342</v>
      </c>
      <c r="F6" s="12">
        <v>102</v>
      </c>
    </row>
    <row r="7" spans="1:6" ht="12.75">
      <c r="A7" s="10" t="s">
        <v>24</v>
      </c>
      <c r="C7" s="5" t="s">
        <v>253</v>
      </c>
      <c r="E7" s="10" t="s">
        <v>464</v>
      </c>
      <c r="F7" s="119" t="s">
        <v>810</v>
      </c>
    </row>
    <row r="8" spans="1:6" ht="12.75">
      <c r="A8" s="10" t="s">
        <v>23</v>
      </c>
      <c r="F8" s="12"/>
    </row>
    <row r="9" spans="1:6" ht="13.5" thickBot="1">
      <c r="A9" s="10" t="s">
        <v>22</v>
      </c>
      <c r="F9" s="13">
        <v>383</v>
      </c>
    </row>
    <row r="10" spans="2:3" ht="12.75">
      <c r="B10" s="239" t="s">
        <v>21</v>
      </c>
      <c r="C10" s="239"/>
    </row>
    <row r="11" spans="1:6" ht="12.75">
      <c r="A11" s="232" t="s">
        <v>194</v>
      </c>
      <c r="B11" s="233" t="s">
        <v>177</v>
      </c>
      <c r="C11" s="234" t="s">
        <v>339</v>
      </c>
      <c r="D11" s="234" t="s">
        <v>298</v>
      </c>
      <c r="E11" s="234" t="s">
        <v>299</v>
      </c>
      <c r="F11" s="234" t="s">
        <v>300</v>
      </c>
    </row>
    <row r="12" spans="1:6" ht="12.75">
      <c r="A12" s="232"/>
      <c r="B12" s="233"/>
      <c r="C12" s="234"/>
      <c r="D12" s="234"/>
      <c r="E12" s="234"/>
      <c r="F12" s="234"/>
    </row>
    <row r="13" spans="1:6" ht="12.75">
      <c r="A13" s="232"/>
      <c r="B13" s="233"/>
      <c r="C13" s="234"/>
      <c r="D13" s="234"/>
      <c r="E13" s="234"/>
      <c r="F13" s="234"/>
    </row>
    <row r="14" spans="1:8" ht="10.5" customHeight="1">
      <c r="A14" s="170">
        <v>1</v>
      </c>
      <c r="B14" s="76" t="s">
        <v>77</v>
      </c>
      <c r="C14" s="76" t="s">
        <v>288</v>
      </c>
      <c r="D14" s="170">
        <v>4</v>
      </c>
      <c r="E14" s="170">
        <v>5</v>
      </c>
      <c r="F14" s="170">
        <v>6</v>
      </c>
      <c r="G14" s="109"/>
      <c r="H14" s="109"/>
    </row>
    <row r="15" spans="1:8" s="19" customFormat="1" ht="18.75" customHeight="1">
      <c r="A15" s="75" t="s">
        <v>301</v>
      </c>
      <c r="B15" s="74" t="s">
        <v>290</v>
      </c>
      <c r="C15" s="74" t="s">
        <v>286</v>
      </c>
      <c r="D15" s="94">
        <f>D17+D83</f>
        <v>65273070</v>
      </c>
      <c r="E15" s="94">
        <f>E17+E83</f>
        <v>63122199.06</v>
      </c>
      <c r="F15" s="94">
        <f>D15-E15</f>
        <v>2150870.94</v>
      </c>
      <c r="H15" s="148"/>
    </row>
    <row r="16" spans="1:6" ht="10.5" customHeight="1">
      <c r="A16" s="79" t="s">
        <v>302</v>
      </c>
      <c r="B16" s="6"/>
      <c r="C16" s="6"/>
      <c r="D16" s="7"/>
      <c r="E16" s="7"/>
      <c r="F16" s="15"/>
    </row>
    <row r="17" spans="1:8" ht="12.75">
      <c r="A17" s="15" t="s">
        <v>28</v>
      </c>
      <c r="B17" s="20" t="s">
        <v>290</v>
      </c>
      <c r="C17" s="20" t="s">
        <v>76</v>
      </c>
      <c r="D17" s="82">
        <f>SUM(D19:D82)</f>
        <v>44200302</v>
      </c>
      <c r="E17" s="15">
        <f>SUM(E19:E82)</f>
        <v>44898985.47</v>
      </c>
      <c r="F17" s="15">
        <f>D17-E17</f>
        <v>-698683.469999999</v>
      </c>
      <c r="H17" s="92"/>
    </row>
    <row r="18" spans="1:6" s="19" customFormat="1" ht="9.75" customHeight="1">
      <c r="A18" s="79" t="s">
        <v>302</v>
      </c>
      <c r="B18" s="18"/>
      <c r="C18" s="18"/>
      <c r="D18" s="17"/>
      <c r="E18" s="17"/>
      <c r="F18" s="17"/>
    </row>
    <row r="19" spans="1:6" ht="81" customHeight="1">
      <c r="A19" s="8" t="s">
        <v>382</v>
      </c>
      <c r="B19" s="9" t="s">
        <v>290</v>
      </c>
      <c r="C19" s="9" t="s">
        <v>494</v>
      </c>
      <c r="D19" s="78">
        <v>19700000</v>
      </c>
      <c r="E19" s="7">
        <f>20013698.46+9602.2</f>
        <v>20023300.66</v>
      </c>
      <c r="F19" s="15">
        <f aca="true" t="shared" si="0" ref="F19:F95">D19-E19</f>
        <v>-323300.66</v>
      </c>
    </row>
    <row r="20" spans="1:6" ht="81" customHeight="1">
      <c r="A20" s="8" t="s">
        <v>382</v>
      </c>
      <c r="B20" s="9" t="s">
        <v>290</v>
      </c>
      <c r="C20" s="9" t="s">
        <v>860</v>
      </c>
      <c r="D20" s="78"/>
      <c r="E20" s="7">
        <v>54500.94</v>
      </c>
      <c r="F20" s="15">
        <f t="shared" si="0"/>
        <v>-54500.94</v>
      </c>
    </row>
    <row r="21" spans="1:6" ht="81" customHeight="1">
      <c r="A21" s="8" t="s">
        <v>382</v>
      </c>
      <c r="B21" s="9" t="s">
        <v>290</v>
      </c>
      <c r="C21" s="9" t="s">
        <v>861</v>
      </c>
      <c r="D21" s="78"/>
      <c r="E21" s="78">
        <v>6909.88</v>
      </c>
      <c r="F21" s="82">
        <f t="shared" si="0"/>
        <v>-6909.88</v>
      </c>
    </row>
    <row r="22" spans="1:6" ht="81" customHeight="1">
      <c r="A22" s="8" t="s">
        <v>382</v>
      </c>
      <c r="B22" s="9" t="s">
        <v>290</v>
      </c>
      <c r="C22" s="9" t="s">
        <v>495</v>
      </c>
      <c r="D22" s="78"/>
      <c r="E22" s="7">
        <v>512.21</v>
      </c>
      <c r="F22" s="15">
        <f t="shared" si="0"/>
        <v>-512.21</v>
      </c>
    </row>
    <row r="23" spans="1:6" ht="42.75" customHeight="1">
      <c r="A23" s="8" t="s">
        <v>383</v>
      </c>
      <c r="B23" s="9" t="s">
        <v>290</v>
      </c>
      <c r="C23" s="9" t="s">
        <v>496</v>
      </c>
      <c r="D23" s="78">
        <v>600</v>
      </c>
      <c r="E23" s="78">
        <v>486.6</v>
      </c>
      <c r="F23" s="82">
        <f t="shared" si="0"/>
        <v>113.4</v>
      </c>
    </row>
    <row r="24" spans="1:6" ht="42.75" customHeight="1">
      <c r="A24" s="8" t="s">
        <v>383</v>
      </c>
      <c r="B24" s="9" t="s">
        <v>290</v>
      </c>
      <c r="C24" s="9" t="s">
        <v>867</v>
      </c>
      <c r="D24" s="78"/>
      <c r="E24" s="78">
        <v>3.12</v>
      </c>
      <c r="F24" s="82">
        <f t="shared" si="0"/>
        <v>-3.12</v>
      </c>
    </row>
    <row r="25" spans="1:6" ht="42.75" customHeight="1">
      <c r="A25" s="8" t="s">
        <v>383</v>
      </c>
      <c r="B25" s="9" t="s">
        <v>290</v>
      </c>
      <c r="C25" s="9" t="s">
        <v>874</v>
      </c>
      <c r="D25" s="78"/>
      <c r="E25" s="78">
        <f>109.2+100</f>
        <v>209.2</v>
      </c>
      <c r="F25" s="82">
        <f t="shared" si="0"/>
        <v>-209.2</v>
      </c>
    </row>
    <row r="26" spans="1:6" ht="42.75" customHeight="1">
      <c r="A26" s="8" t="s">
        <v>384</v>
      </c>
      <c r="B26" s="9" t="s">
        <v>290</v>
      </c>
      <c r="C26" s="9" t="s">
        <v>835</v>
      </c>
      <c r="D26" s="78">
        <v>7800</v>
      </c>
      <c r="E26" s="78">
        <v>5680</v>
      </c>
      <c r="F26" s="82">
        <f t="shared" si="0"/>
        <v>2120</v>
      </c>
    </row>
    <row r="27" spans="1:6" ht="57.75" customHeight="1">
      <c r="A27" s="8" t="s">
        <v>384</v>
      </c>
      <c r="B27" s="9" t="s">
        <v>175</v>
      </c>
      <c r="C27" s="9" t="s">
        <v>811</v>
      </c>
      <c r="D27" s="78"/>
      <c r="E27" s="7">
        <v>145.24</v>
      </c>
      <c r="F27" s="15">
        <f t="shared" si="0"/>
        <v>-145.24</v>
      </c>
    </row>
    <row r="28" spans="1:6" ht="56.25">
      <c r="A28" s="8" t="s">
        <v>384</v>
      </c>
      <c r="B28" s="9" t="s">
        <v>175</v>
      </c>
      <c r="C28" s="9" t="s">
        <v>497</v>
      </c>
      <c r="D28" s="78"/>
      <c r="E28" s="78">
        <v>1965</v>
      </c>
      <c r="F28" s="15">
        <f t="shared" si="0"/>
        <v>-1965</v>
      </c>
    </row>
    <row r="29" spans="1:9" ht="48" customHeight="1">
      <c r="A29" s="8" t="s">
        <v>303</v>
      </c>
      <c r="B29" s="9" t="s">
        <v>290</v>
      </c>
      <c r="C29" s="9" t="s">
        <v>506</v>
      </c>
      <c r="D29" s="78">
        <v>790000</v>
      </c>
      <c r="E29" s="78">
        <v>781804.83</v>
      </c>
      <c r="F29" s="15">
        <f t="shared" si="0"/>
        <v>8195.17000000004</v>
      </c>
      <c r="I29" s="92"/>
    </row>
    <row r="30" spans="1:9" ht="48" customHeight="1">
      <c r="A30" s="8" t="s">
        <v>303</v>
      </c>
      <c r="B30" s="9" t="s">
        <v>290</v>
      </c>
      <c r="C30" s="9" t="s">
        <v>823</v>
      </c>
      <c r="D30" s="78"/>
      <c r="E30" s="78">
        <v>7241.91</v>
      </c>
      <c r="F30" s="15">
        <f t="shared" si="0"/>
        <v>-7241.91</v>
      </c>
      <c r="I30" s="92"/>
    </row>
    <row r="31" spans="1:9" ht="48" customHeight="1">
      <c r="A31" s="8" t="s">
        <v>303</v>
      </c>
      <c r="B31" s="9" t="s">
        <v>290</v>
      </c>
      <c r="C31" s="9" t="s">
        <v>824</v>
      </c>
      <c r="D31" s="78"/>
      <c r="E31" s="78">
        <v>1396.66</v>
      </c>
      <c r="F31" s="15">
        <f t="shared" si="0"/>
        <v>-1396.66</v>
      </c>
      <c r="I31" s="92"/>
    </row>
    <row r="32" spans="1:9" ht="48" customHeight="1">
      <c r="A32" s="8" t="s">
        <v>303</v>
      </c>
      <c r="B32" s="9" t="s">
        <v>290</v>
      </c>
      <c r="C32" s="9" t="s">
        <v>875</v>
      </c>
      <c r="D32" s="78"/>
      <c r="E32" s="78">
        <v>0</v>
      </c>
      <c r="F32" s="15">
        <f t="shared" si="0"/>
        <v>0</v>
      </c>
      <c r="I32" s="92"/>
    </row>
    <row r="33" spans="1:6" ht="64.5" customHeight="1">
      <c r="A33" s="123" t="s">
        <v>385</v>
      </c>
      <c r="B33" s="9" t="s">
        <v>290</v>
      </c>
      <c r="C33" s="9" t="s">
        <v>825</v>
      </c>
      <c r="D33" s="78"/>
      <c r="E33" s="7">
        <v>-108.61</v>
      </c>
      <c r="F33" s="15">
        <f t="shared" si="0"/>
        <v>108.61</v>
      </c>
    </row>
    <row r="34" spans="1:6" ht="64.5" customHeight="1">
      <c r="A34" s="123" t="s">
        <v>385</v>
      </c>
      <c r="B34" s="9" t="s">
        <v>290</v>
      </c>
      <c r="C34" s="9" t="s">
        <v>826</v>
      </c>
      <c r="D34" s="78"/>
      <c r="E34" s="7">
        <v>398.31</v>
      </c>
      <c r="F34" s="15">
        <f t="shared" si="0"/>
        <v>-398.31</v>
      </c>
    </row>
    <row r="35" spans="1:10" ht="56.25">
      <c r="A35" s="8" t="s">
        <v>304</v>
      </c>
      <c r="B35" s="9" t="s">
        <v>290</v>
      </c>
      <c r="C35" s="9" t="s">
        <v>507</v>
      </c>
      <c r="D35" s="78">
        <v>544000</v>
      </c>
      <c r="E35" s="7">
        <v>535800.06</v>
      </c>
      <c r="F35" s="15">
        <f t="shared" si="0"/>
        <v>8199.93999999994</v>
      </c>
      <c r="I35" s="92"/>
      <c r="J35" s="92"/>
    </row>
    <row r="36" spans="1:6" ht="45" customHeight="1">
      <c r="A36" s="8" t="s">
        <v>857</v>
      </c>
      <c r="B36" s="9" t="s">
        <v>290</v>
      </c>
      <c r="C36" s="9" t="s">
        <v>856</v>
      </c>
      <c r="D36" s="78"/>
      <c r="E36" s="78">
        <v>8860.08</v>
      </c>
      <c r="F36" s="15">
        <f t="shared" si="0"/>
        <v>-8860.08</v>
      </c>
    </row>
    <row r="37" spans="1:6" ht="57" customHeight="1">
      <c r="A37" s="8" t="s">
        <v>895</v>
      </c>
      <c r="B37" s="9" t="s">
        <v>290</v>
      </c>
      <c r="C37" s="9" t="s">
        <v>896</v>
      </c>
      <c r="D37" s="78"/>
      <c r="E37" s="78">
        <v>270</v>
      </c>
      <c r="F37" s="15">
        <f>D37-E37</f>
        <v>-270</v>
      </c>
    </row>
    <row r="38" spans="1:6" ht="22.5">
      <c r="A38" s="8" t="s">
        <v>305</v>
      </c>
      <c r="B38" s="9" t="s">
        <v>290</v>
      </c>
      <c r="C38" s="9" t="s">
        <v>508</v>
      </c>
      <c r="D38" s="78">
        <v>450000</v>
      </c>
      <c r="E38" s="7">
        <f>451611.67+1397.8</f>
        <v>453009.47</v>
      </c>
      <c r="F38" s="15">
        <f t="shared" si="0"/>
        <v>-3009.46999999997</v>
      </c>
    </row>
    <row r="39" spans="1:6" ht="20.25" customHeight="1">
      <c r="A39" s="8" t="s">
        <v>305</v>
      </c>
      <c r="B39" s="9" t="s">
        <v>290</v>
      </c>
      <c r="C39" s="9" t="s">
        <v>509</v>
      </c>
      <c r="D39" s="78"/>
      <c r="E39" s="7">
        <f>1372.07+52.2</f>
        <v>1424.27</v>
      </c>
      <c r="F39" s="15">
        <f t="shared" si="0"/>
        <v>-1424.27</v>
      </c>
    </row>
    <row r="40" spans="1:6" ht="20.25" customHeight="1">
      <c r="A40" s="8" t="s">
        <v>305</v>
      </c>
      <c r="B40" s="9" t="s">
        <v>290</v>
      </c>
      <c r="C40" s="9" t="s">
        <v>510</v>
      </c>
      <c r="D40" s="78"/>
      <c r="E40" s="78">
        <f>2002.84+97.16</f>
        <v>2100</v>
      </c>
      <c r="F40" s="15">
        <f t="shared" si="0"/>
        <v>-2100</v>
      </c>
    </row>
    <row r="41" spans="1:6" ht="45.75" customHeight="1">
      <c r="A41" s="8" t="s">
        <v>386</v>
      </c>
      <c r="B41" s="9" t="s">
        <v>290</v>
      </c>
      <c r="C41" s="9" t="s">
        <v>858</v>
      </c>
      <c r="D41" s="78"/>
      <c r="E41" s="7">
        <v>-37.43</v>
      </c>
      <c r="F41" s="15">
        <f t="shared" si="0"/>
        <v>37.43</v>
      </c>
    </row>
    <row r="42" spans="1:6" ht="45.75" customHeight="1">
      <c r="A42" s="8" t="s">
        <v>386</v>
      </c>
      <c r="B42" s="9" t="s">
        <v>290</v>
      </c>
      <c r="C42" s="9" t="s">
        <v>859</v>
      </c>
      <c r="D42" s="78"/>
      <c r="E42" s="7">
        <v>25.77</v>
      </c>
      <c r="F42" s="15">
        <f>D42-E42</f>
        <v>-25.77</v>
      </c>
    </row>
    <row r="43" spans="1:6" ht="45.75" customHeight="1">
      <c r="A43" s="8" t="s">
        <v>386</v>
      </c>
      <c r="B43" s="9" t="s">
        <v>290</v>
      </c>
      <c r="C43" s="9" t="s">
        <v>877</v>
      </c>
      <c r="D43" s="78"/>
      <c r="E43" s="7">
        <v>7.2</v>
      </c>
      <c r="F43" s="15">
        <f>D43-E43</f>
        <v>-7.2</v>
      </c>
    </row>
    <row r="44" spans="1:6" ht="12.75">
      <c r="A44" s="8" t="s">
        <v>202</v>
      </c>
      <c r="B44" s="9" t="s">
        <v>290</v>
      </c>
      <c r="C44" s="9" t="s">
        <v>836</v>
      </c>
      <c r="D44" s="78">
        <v>700</v>
      </c>
      <c r="E44" s="78">
        <v>700</v>
      </c>
      <c r="F44" s="15">
        <f t="shared" si="0"/>
        <v>0</v>
      </c>
    </row>
    <row r="45" spans="1:6" ht="47.25" customHeight="1">
      <c r="A45" s="8" t="s">
        <v>306</v>
      </c>
      <c r="B45" s="9" t="s">
        <v>290</v>
      </c>
      <c r="C45" s="9" t="s">
        <v>511</v>
      </c>
      <c r="D45" s="78">
        <v>1380000</v>
      </c>
      <c r="E45" s="78">
        <f>1406700.73+3915.37</f>
        <v>1410616.1</v>
      </c>
      <c r="F45" s="15">
        <f t="shared" si="0"/>
        <v>-30616.1</v>
      </c>
    </row>
    <row r="46" spans="1:6" ht="38.25" customHeight="1">
      <c r="A46" s="8" t="s">
        <v>306</v>
      </c>
      <c r="B46" s="9" t="s">
        <v>290</v>
      </c>
      <c r="C46" s="9" t="s">
        <v>837</v>
      </c>
      <c r="D46" s="78"/>
      <c r="E46" s="7">
        <f>27057.66+134</f>
        <v>27191.66</v>
      </c>
      <c r="F46" s="15">
        <f t="shared" si="0"/>
        <v>-27191.66</v>
      </c>
    </row>
    <row r="47" spans="1:6" ht="38.25" customHeight="1">
      <c r="A47" s="8" t="s">
        <v>306</v>
      </c>
      <c r="B47" s="9" t="s">
        <v>290</v>
      </c>
      <c r="C47" s="9" t="s">
        <v>838</v>
      </c>
      <c r="D47" s="78"/>
      <c r="E47" s="7">
        <v>0</v>
      </c>
      <c r="F47" s="15">
        <f t="shared" si="0"/>
        <v>0</v>
      </c>
    </row>
    <row r="48" spans="1:8" ht="15.75" customHeight="1">
      <c r="A48" s="8" t="s">
        <v>284</v>
      </c>
      <c r="B48" s="9" t="s">
        <v>290</v>
      </c>
      <c r="C48" s="9" t="s">
        <v>512</v>
      </c>
      <c r="D48" s="78">
        <v>338000</v>
      </c>
      <c r="E48" s="78">
        <v>337395.51</v>
      </c>
      <c r="F48" s="15">
        <f t="shared" si="0"/>
        <v>604.48999999999</v>
      </c>
      <c r="H48" s="92"/>
    </row>
    <row r="49" spans="1:8" ht="15" customHeight="1">
      <c r="A49" s="8" t="s">
        <v>284</v>
      </c>
      <c r="B49" s="9" t="s">
        <v>290</v>
      </c>
      <c r="C49" s="9" t="s">
        <v>863</v>
      </c>
      <c r="D49" s="78"/>
      <c r="E49" s="78">
        <v>210.32</v>
      </c>
      <c r="F49" s="15">
        <f>D49-E49</f>
        <v>-210.32</v>
      </c>
      <c r="H49" s="92"/>
    </row>
    <row r="50" spans="1:8" ht="15" customHeight="1">
      <c r="A50" s="8" t="s">
        <v>284</v>
      </c>
      <c r="B50" s="9" t="s">
        <v>290</v>
      </c>
      <c r="C50" s="9" t="s">
        <v>812</v>
      </c>
      <c r="D50" s="78"/>
      <c r="E50" s="78">
        <v>525</v>
      </c>
      <c r="F50" s="15">
        <f t="shared" si="0"/>
        <v>-525</v>
      </c>
      <c r="H50" s="92"/>
    </row>
    <row r="51" spans="1:8" ht="15" customHeight="1">
      <c r="A51" s="8" t="s">
        <v>284</v>
      </c>
      <c r="B51" s="9" t="s">
        <v>290</v>
      </c>
      <c r="C51" s="9" t="s">
        <v>862</v>
      </c>
      <c r="D51" s="78"/>
      <c r="E51" s="78">
        <v>0</v>
      </c>
      <c r="F51" s="82">
        <f t="shared" si="0"/>
        <v>0</v>
      </c>
      <c r="H51" s="92"/>
    </row>
    <row r="52" spans="1:6" ht="15" customHeight="1">
      <c r="A52" s="8" t="s">
        <v>307</v>
      </c>
      <c r="B52" s="9" t="s">
        <v>290</v>
      </c>
      <c r="C52" s="9" t="s">
        <v>513</v>
      </c>
      <c r="D52" s="78">
        <v>2620000</v>
      </c>
      <c r="E52" s="7">
        <f>2601923.5+7605.05</f>
        <v>2609528.55</v>
      </c>
      <c r="F52" s="15">
        <f t="shared" si="0"/>
        <v>10471.4500000001</v>
      </c>
    </row>
    <row r="53" spans="1:6" ht="12.75">
      <c r="A53" s="8" t="s">
        <v>307</v>
      </c>
      <c r="B53" s="9" t="s">
        <v>290</v>
      </c>
      <c r="C53" s="9" t="s">
        <v>514</v>
      </c>
      <c r="D53" s="78"/>
      <c r="E53" s="7">
        <f>25579.55+316.6</f>
        <v>25896.15</v>
      </c>
      <c r="F53" s="15">
        <f t="shared" si="0"/>
        <v>-25896.15</v>
      </c>
    </row>
    <row r="54" spans="1:6" ht="12.75">
      <c r="A54" s="8" t="s">
        <v>307</v>
      </c>
      <c r="B54" s="9" t="s">
        <v>290</v>
      </c>
      <c r="C54" s="9" t="s">
        <v>515</v>
      </c>
      <c r="D54" s="78"/>
      <c r="E54" s="7">
        <v>0.21</v>
      </c>
      <c r="F54" s="15">
        <f t="shared" si="0"/>
        <v>-0.21</v>
      </c>
    </row>
    <row r="55" spans="1:9" ht="78.75">
      <c r="A55" s="8" t="s">
        <v>308</v>
      </c>
      <c r="B55" s="9" t="s">
        <v>290</v>
      </c>
      <c r="C55" s="9" t="s">
        <v>516</v>
      </c>
      <c r="D55" s="118">
        <v>5730000</v>
      </c>
      <c r="E55" s="78">
        <v>6171733.03</v>
      </c>
      <c r="F55" s="82">
        <f t="shared" si="0"/>
        <v>-441733.03</v>
      </c>
      <c r="I55" s="92"/>
    </row>
    <row r="56" spans="1:9" ht="23.25" customHeight="1">
      <c r="A56" s="180" t="s">
        <v>308</v>
      </c>
      <c r="B56" s="9" t="s">
        <v>290</v>
      </c>
      <c r="C56" s="9" t="s">
        <v>854</v>
      </c>
      <c r="D56" s="118"/>
      <c r="E56" s="7">
        <v>1609.14</v>
      </c>
      <c r="F56" s="15">
        <f t="shared" si="0"/>
        <v>-1609.14</v>
      </c>
      <c r="I56" s="92"/>
    </row>
    <row r="57" spans="1:9" ht="23.25" customHeight="1">
      <c r="A57" s="180" t="s">
        <v>308</v>
      </c>
      <c r="B57" s="9" t="s">
        <v>290</v>
      </c>
      <c r="C57" s="9" t="s">
        <v>878</v>
      </c>
      <c r="D57" s="118"/>
      <c r="E57" s="7">
        <v>1778.45</v>
      </c>
      <c r="F57" s="15">
        <f>D57-E57</f>
        <v>-1778.45</v>
      </c>
      <c r="I57" s="92"/>
    </row>
    <row r="58" spans="1:6" ht="78.75">
      <c r="A58" s="8" t="s">
        <v>18</v>
      </c>
      <c r="B58" s="9" t="s">
        <v>290</v>
      </c>
      <c r="C58" s="9" t="s">
        <v>517</v>
      </c>
      <c r="D58" s="110">
        <v>480000</v>
      </c>
      <c r="E58" s="78">
        <f>500046.5+1252</f>
        <v>501298.5</v>
      </c>
      <c r="F58" s="15">
        <f t="shared" si="0"/>
        <v>-21298.5</v>
      </c>
    </row>
    <row r="59" spans="1:6" ht="23.25" customHeight="1">
      <c r="A59" s="180" t="s">
        <v>18</v>
      </c>
      <c r="B59" s="9" t="s">
        <v>290</v>
      </c>
      <c r="C59" s="9" t="s">
        <v>518</v>
      </c>
      <c r="D59" s="110"/>
      <c r="E59" s="78">
        <v>3389.81</v>
      </c>
      <c r="F59" s="15">
        <f t="shared" si="0"/>
        <v>-3389.81</v>
      </c>
    </row>
    <row r="60" spans="1:6" ht="93.75" customHeight="1">
      <c r="A60" s="8" t="s">
        <v>451</v>
      </c>
      <c r="B60" s="9" t="s">
        <v>290</v>
      </c>
      <c r="C60" s="9" t="s">
        <v>519</v>
      </c>
      <c r="D60" s="110">
        <v>73710</v>
      </c>
      <c r="E60" s="78">
        <v>73710</v>
      </c>
      <c r="F60" s="15">
        <f t="shared" si="0"/>
        <v>0</v>
      </c>
    </row>
    <row r="61" spans="1:6" ht="22.5">
      <c r="A61" s="8" t="s">
        <v>520</v>
      </c>
      <c r="B61" s="9" t="s">
        <v>290</v>
      </c>
      <c r="C61" s="9" t="s">
        <v>521</v>
      </c>
      <c r="D61" s="78">
        <v>17100</v>
      </c>
      <c r="E61" s="7">
        <v>17148.87</v>
      </c>
      <c r="F61" s="15">
        <f t="shared" si="0"/>
        <v>-48.869999999999</v>
      </c>
    </row>
    <row r="62" spans="1:6" ht="22.5">
      <c r="A62" s="8" t="s">
        <v>520</v>
      </c>
      <c r="B62" s="9" t="s">
        <v>290</v>
      </c>
      <c r="C62" s="9" t="s">
        <v>522</v>
      </c>
      <c r="D62" s="78">
        <v>5700</v>
      </c>
      <c r="E62" s="7">
        <v>5652.16</v>
      </c>
      <c r="F62" s="15">
        <f t="shared" si="0"/>
        <v>47.8400000000001</v>
      </c>
    </row>
    <row r="63" spans="1:6" ht="22.5">
      <c r="A63" s="8" t="s">
        <v>498</v>
      </c>
      <c r="B63" s="9" t="s">
        <v>290</v>
      </c>
      <c r="C63" s="9" t="s">
        <v>499</v>
      </c>
      <c r="D63" s="78">
        <v>487110</v>
      </c>
      <c r="E63" s="7">
        <v>478202.79</v>
      </c>
      <c r="F63" s="15">
        <f t="shared" si="0"/>
        <v>8907.21000000002</v>
      </c>
    </row>
    <row r="64" spans="1:6" ht="45">
      <c r="A64" s="8" t="s">
        <v>500</v>
      </c>
      <c r="B64" s="9" t="s">
        <v>290</v>
      </c>
      <c r="C64" s="9" t="s">
        <v>501</v>
      </c>
      <c r="D64" s="78">
        <v>11070</v>
      </c>
      <c r="E64" s="78">
        <f>12953.46+1.49</f>
        <v>12954.95</v>
      </c>
      <c r="F64" s="82">
        <f t="shared" si="0"/>
        <v>-1884.95</v>
      </c>
    </row>
    <row r="65" spans="1:6" ht="33.75">
      <c r="A65" s="8" t="s">
        <v>502</v>
      </c>
      <c r="B65" s="9" t="s">
        <v>290</v>
      </c>
      <c r="C65" s="9" t="s">
        <v>503</v>
      </c>
      <c r="D65" s="78">
        <v>968210</v>
      </c>
      <c r="E65" s="78">
        <f>942116.37+0.65</f>
        <v>942117.02</v>
      </c>
      <c r="F65" s="82">
        <f t="shared" si="0"/>
        <v>26092.98</v>
      </c>
    </row>
    <row r="66" spans="1:6" ht="33.75">
      <c r="A66" s="8" t="s">
        <v>504</v>
      </c>
      <c r="B66" s="9" t="s">
        <v>290</v>
      </c>
      <c r="C66" s="9" t="s">
        <v>505</v>
      </c>
      <c r="D66" s="78">
        <v>-83780</v>
      </c>
      <c r="E66" s="7">
        <f>-61505.75+0.42+0.25</f>
        <v>-61505.08</v>
      </c>
      <c r="F66" s="15">
        <f t="shared" si="0"/>
        <v>-22274.92</v>
      </c>
    </row>
    <row r="67" spans="1:8" ht="90">
      <c r="A67" s="8" t="s">
        <v>19</v>
      </c>
      <c r="B67" s="9" t="s">
        <v>290</v>
      </c>
      <c r="C67" s="9" t="s">
        <v>523</v>
      </c>
      <c r="D67" s="78">
        <v>715260</v>
      </c>
      <c r="E67" s="7">
        <v>715261.06</v>
      </c>
      <c r="F67" s="15">
        <f>D67-E67</f>
        <v>-1.06000000005587</v>
      </c>
      <c r="H67" s="92"/>
    </row>
    <row r="68" spans="1:8" ht="55.5" customHeight="1">
      <c r="A68" s="8" t="s">
        <v>19</v>
      </c>
      <c r="B68" s="9" t="s">
        <v>290</v>
      </c>
      <c r="C68" s="9" t="s">
        <v>876</v>
      </c>
      <c r="D68" s="78">
        <v>1748000</v>
      </c>
      <c r="E68" s="78">
        <f>1868968.82+1204.12</f>
        <v>1870172.94</v>
      </c>
      <c r="F68" s="82">
        <f>D68-E68</f>
        <v>-122172.94</v>
      </c>
      <c r="H68" s="92"/>
    </row>
    <row r="69" spans="1:6" ht="74.25" customHeight="1">
      <c r="A69" s="8" t="s">
        <v>338</v>
      </c>
      <c r="B69" s="9" t="s">
        <v>290</v>
      </c>
      <c r="C69" s="9" t="s">
        <v>809</v>
      </c>
      <c r="D69" s="78">
        <v>261000</v>
      </c>
      <c r="E69" s="78">
        <v>262592.96</v>
      </c>
      <c r="F69" s="82">
        <f t="shared" si="0"/>
        <v>-1592.96</v>
      </c>
    </row>
    <row r="70" spans="1:6" ht="12.75" hidden="1">
      <c r="A70" s="7"/>
      <c r="B70" s="6"/>
      <c r="C70" s="6"/>
      <c r="D70" s="78"/>
      <c r="E70" s="7"/>
      <c r="F70" s="15">
        <f t="shared" si="0"/>
        <v>0</v>
      </c>
    </row>
    <row r="71" spans="1:8" ht="78.75">
      <c r="A71" s="8" t="s">
        <v>20</v>
      </c>
      <c r="B71" s="9" t="s">
        <v>290</v>
      </c>
      <c r="C71" s="9" t="s">
        <v>524</v>
      </c>
      <c r="D71" s="78">
        <v>-20000</v>
      </c>
      <c r="E71" s="78">
        <v>-20000</v>
      </c>
      <c r="F71" s="82">
        <f t="shared" si="0"/>
        <v>0</v>
      </c>
      <c r="H71" s="92"/>
    </row>
    <row r="72" spans="1:8" ht="33.75">
      <c r="A72" s="8" t="s">
        <v>526</v>
      </c>
      <c r="B72" s="9" t="s">
        <v>290</v>
      </c>
      <c r="C72" s="9" t="s">
        <v>525</v>
      </c>
      <c r="D72" s="78">
        <v>4453332</v>
      </c>
      <c r="E72" s="7">
        <f>4582410.55+120104.13</f>
        <v>4702514.68</v>
      </c>
      <c r="F72" s="15">
        <f t="shared" si="0"/>
        <v>-249182.68</v>
      </c>
      <c r="H72" s="92"/>
    </row>
    <row r="73" spans="1:9" ht="36" customHeight="1">
      <c r="A73" s="180" t="s">
        <v>326</v>
      </c>
      <c r="B73" s="9" t="s">
        <v>290</v>
      </c>
      <c r="C73" s="9" t="s">
        <v>527</v>
      </c>
      <c r="D73" s="181">
        <v>1157000</v>
      </c>
      <c r="E73" s="181">
        <f>1120935.3+2377.98</f>
        <v>1123313.28</v>
      </c>
      <c r="F73" s="182">
        <f t="shared" si="0"/>
        <v>33686.72</v>
      </c>
      <c r="H73" s="92"/>
      <c r="I73" s="92"/>
    </row>
    <row r="74" spans="1:6" ht="12" customHeight="1">
      <c r="A74" s="79" t="s">
        <v>124</v>
      </c>
      <c r="B74" s="76" t="s">
        <v>290</v>
      </c>
      <c r="C74" s="76" t="s">
        <v>528</v>
      </c>
      <c r="D74" s="78">
        <v>2600</v>
      </c>
      <c r="E74" s="78">
        <v>2600</v>
      </c>
      <c r="F74" s="15">
        <f t="shared" si="0"/>
        <v>0</v>
      </c>
    </row>
    <row r="75" spans="1:8" ht="45" customHeight="1">
      <c r="A75" s="108" t="s">
        <v>413</v>
      </c>
      <c r="B75" s="76" t="s">
        <v>290</v>
      </c>
      <c r="C75" s="76" t="s">
        <v>529</v>
      </c>
      <c r="D75" s="78">
        <v>101700</v>
      </c>
      <c r="E75" s="78">
        <v>101700</v>
      </c>
      <c r="F75" s="82">
        <f t="shared" si="0"/>
        <v>0</v>
      </c>
      <c r="H75" s="92"/>
    </row>
    <row r="76" spans="1:8" ht="22.5" customHeight="1">
      <c r="A76" s="8" t="s">
        <v>195</v>
      </c>
      <c r="B76" s="9" t="s">
        <v>290</v>
      </c>
      <c r="C76" s="76" t="s">
        <v>532</v>
      </c>
      <c r="D76" s="78">
        <v>1605740</v>
      </c>
      <c r="E76" s="78">
        <v>1035347.84</v>
      </c>
      <c r="F76" s="15">
        <f>D76-E76</f>
        <v>570392.16</v>
      </c>
      <c r="H76" s="92"/>
    </row>
    <row r="77" spans="1:6" ht="33" customHeight="1" hidden="1">
      <c r="A77" s="8" t="s">
        <v>420</v>
      </c>
      <c r="B77" s="9" t="s">
        <v>290</v>
      </c>
      <c r="C77" s="9" t="s">
        <v>533</v>
      </c>
      <c r="D77" s="152"/>
      <c r="E77" s="152"/>
      <c r="F77" s="153">
        <f>D77-E77</f>
        <v>0</v>
      </c>
    </row>
    <row r="78" spans="1:6" ht="45" customHeight="1">
      <c r="A78" s="8" t="s">
        <v>419</v>
      </c>
      <c r="B78" s="9" t="s">
        <v>290</v>
      </c>
      <c r="C78" s="76" t="s">
        <v>534</v>
      </c>
      <c r="D78" s="78">
        <v>16190</v>
      </c>
      <c r="E78" s="78">
        <v>16192.44</v>
      </c>
      <c r="F78" s="15">
        <f>D78-E78</f>
        <v>-2.44000000000051</v>
      </c>
    </row>
    <row r="79" spans="1:6" ht="24.75" customHeight="1">
      <c r="A79" s="211" t="s">
        <v>814</v>
      </c>
      <c r="B79" s="76" t="s">
        <v>290</v>
      </c>
      <c r="C79" s="76" t="s">
        <v>813</v>
      </c>
      <c r="D79" s="78">
        <v>117600</v>
      </c>
      <c r="E79" s="78">
        <v>121565.5</v>
      </c>
      <c r="F79" s="15">
        <f t="shared" si="0"/>
        <v>-3965.5</v>
      </c>
    </row>
    <row r="80" spans="1:6" ht="33.75" customHeight="1">
      <c r="A80" s="211" t="s">
        <v>864</v>
      </c>
      <c r="B80" s="76" t="s">
        <v>290</v>
      </c>
      <c r="C80" s="76" t="s">
        <v>865</v>
      </c>
      <c r="D80" s="78">
        <v>285270</v>
      </c>
      <c r="E80" s="78">
        <v>285272.1</v>
      </c>
      <c r="F80" s="82">
        <f t="shared" si="0"/>
        <v>-2.1</v>
      </c>
    </row>
    <row r="81" spans="1:6" ht="33.75" customHeight="1">
      <c r="A81" s="183" t="s">
        <v>531</v>
      </c>
      <c r="B81" s="76" t="s">
        <v>290</v>
      </c>
      <c r="C81" s="76" t="s">
        <v>530</v>
      </c>
      <c r="D81" s="78">
        <v>19000</v>
      </c>
      <c r="E81" s="78">
        <v>19006.77</v>
      </c>
      <c r="F81" s="15">
        <f t="shared" si="0"/>
        <v>-6.77000000000044</v>
      </c>
    </row>
    <row r="82" spans="1:6" ht="16.5" customHeight="1">
      <c r="A82" s="183" t="s">
        <v>881</v>
      </c>
      <c r="B82" s="76" t="s">
        <v>290</v>
      </c>
      <c r="C82" s="76" t="s">
        <v>882</v>
      </c>
      <c r="D82" s="78">
        <v>217390</v>
      </c>
      <c r="E82" s="78">
        <v>217387.39</v>
      </c>
      <c r="F82" s="15">
        <f t="shared" si="0"/>
        <v>2.60999999998603</v>
      </c>
    </row>
    <row r="83" spans="1:6" ht="12.75">
      <c r="A83" s="21" t="s">
        <v>29</v>
      </c>
      <c r="B83" s="20" t="s">
        <v>290</v>
      </c>
      <c r="C83" s="20" t="s">
        <v>30</v>
      </c>
      <c r="D83" s="82">
        <f>SUM(D85:D95)</f>
        <v>21072768</v>
      </c>
      <c r="E83" s="82">
        <f>SUM(E85:E95)</f>
        <v>18223213.59</v>
      </c>
      <c r="F83" s="15">
        <f t="shared" si="0"/>
        <v>2849554.41</v>
      </c>
    </row>
    <row r="84" spans="1:6" ht="9" customHeight="1">
      <c r="A84" s="79" t="s">
        <v>302</v>
      </c>
      <c r="B84" s="6"/>
      <c r="C84" s="6"/>
      <c r="D84" s="78"/>
      <c r="E84" s="78"/>
      <c r="F84" s="15">
        <f t="shared" si="0"/>
        <v>0</v>
      </c>
    </row>
    <row r="85" spans="1:8" ht="33.75">
      <c r="A85" s="8" t="s">
        <v>31</v>
      </c>
      <c r="B85" s="9" t="s">
        <v>290</v>
      </c>
      <c r="C85" s="9" t="s">
        <v>535</v>
      </c>
      <c r="D85" s="78">
        <v>330800</v>
      </c>
      <c r="E85" s="78">
        <v>330800</v>
      </c>
      <c r="F85" s="82">
        <f t="shared" si="0"/>
        <v>0</v>
      </c>
      <c r="H85" s="92"/>
    </row>
    <row r="86" spans="1:6" ht="26.25" customHeight="1">
      <c r="A86" s="8" t="s">
        <v>831</v>
      </c>
      <c r="B86" s="9" t="s">
        <v>175</v>
      </c>
      <c r="C86" s="9" t="s">
        <v>832</v>
      </c>
      <c r="D86" s="78">
        <f>9445-6073+2786</f>
        <v>6158</v>
      </c>
      <c r="E86" s="78">
        <v>6158</v>
      </c>
      <c r="F86" s="82">
        <f t="shared" si="0"/>
        <v>0</v>
      </c>
    </row>
    <row r="87" spans="1:8" ht="16.5" customHeight="1">
      <c r="A87" s="8" t="s">
        <v>32</v>
      </c>
      <c r="B87" s="9" t="s">
        <v>175</v>
      </c>
      <c r="C87" s="9" t="s">
        <v>536</v>
      </c>
      <c r="D87" s="78">
        <f>6800000+4323620-2312370</f>
        <v>8811250</v>
      </c>
      <c r="E87" s="78">
        <f>1800000+4161695.25</f>
        <v>5961695.25</v>
      </c>
      <c r="F87" s="82">
        <f t="shared" si="0"/>
        <v>2849554.75</v>
      </c>
      <c r="H87" s="92"/>
    </row>
    <row r="88" spans="1:6" ht="31.5" customHeight="1">
      <c r="A88" s="8" t="s">
        <v>285</v>
      </c>
      <c r="B88" s="9" t="s">
        <v>290</v>
      </c>
      <c r="C88" s="9" t="s">
        <v>828</v>
      </c>
      <c r="D88" s="78">
        <v>321800</v>
      </c>
      <c r="E88" s="78">
        <v>321800</v>
      </c>
      <c r="F88" s="82">
        <f t="shared" si="0"/>
        <v>0</v>
      </c>
    </row>
    <row r="89" spans="1:6" ht="44.25" customHeight="1">
      <c r="A89" s="8" t="s">
        <v>72</v>
      </c>
      <c r="B89" s="9" t="s">
        <v>290</v>
      </c>
      <c r="C89" s="9" t="s">
        <v>537</v>
      </c>
      <c r="D89" s="78">
        <v>1140400</v>
      </c>
      <c r="E89" s="78">
        <v>1140400</v>
      </c>
      <c r="F89" s="82">
        <f t="shared" si="0"/>
        <v>0</v>
      </c>
    </row>
    <row r="90" spans="1:6" ht="44.25" customHeight="1" hidden="1">
      <c r="A90" s="8" t="s">
        <v>833</v>
      </c>
      <c r="B90" s="9" t="s">
        <v>290</v>
      </c>
      <c r="C90" s="9" t="s">
        <v>834</v>
      </c>
      <c r="D90" s="78"/>
      <c r="E90" s="78"/>
      <c r="F90" s="82">
        <f t="shared" si="0"/>
        <v>0</v>
      </c>
    </row>
    <row r="91" spans="1:6" ht="22.5" customHeight="1" hidden="1">
      <c r="A91" s="8" t="s">
        <v>73</v>
      </c>
      <c r="B91" s="9" t="s">
        <v>175</v>
      </c>
      <c r="C91" s="9" t="s">
        <v>74</v>
      </c>
      <c r="D91" s="78"/>
      <c r="E91" s="78"/>
      <c r="F91" s="82">
        <f t="shared" si="0"/>
        <v>0</v>
      </c>
    </row>
    <row r="92" spans="1:9" ht="21.75" customHeight="1">
      <c r="A92" s="8" t="s">
        <v>75</v>
      </c>
      <c r="B92" s="9" t="s">
        <v>290</v>
      </c>
      <c r="C92" s="9" t="s">
        <v>538</v>
      </c>
      <c r="D92" s="78">
        <f>4800000+9566740-2200000+40000-1800000</f>
        <v>10406740</v>
      </c>
      <c r="E92" s="78">
        <v>10406740</v>
      </c>
      <c r="F92" s="82">
        <f t="shared" si="0"/>
        <v>0</v>
      </c>
      <c r="H92" s="92"/>
      <c r="I92" s="92"/>
    </row>
    <row r="93" spans="1:9" ht="21.75" customHeight="1">
      <c r="A93" s="8" t="s">
        <v>539</v>
      </c>
      <c r="B93" s="9" t="s">
        <v>290</v>
      </c>
      <c r="C93" s="9" t="s">
        <v>540</v>
      </c>
      <c r="D93" s="78">
        <v>2200</v>
      </c>
      <c r="E93" s="78">
        <v>2200</v>
      </c>
      <c r="F93" s="82">
        <f t="shared" si="0"/>
        <v>0</v>
      </c>
      <c r="H93" s="92"/>
      <c r="I93" s="92"/>
    </row>
    <row r="94" spans="1:6" ht="21" customHeight="1">
      <c r="A94" s="8" t="s">
        <v>203</v>
      </c>
      <c r="B94" s="9" t="s">
        <v>290</v>
      </c>
      <c r="C94" s="9" t="s">
        <v>541</v>
      </c>
      <c r="D94" s="78">
        <v>53420</v>
      </c>
      <c r="E94" s="78">
        <v>53420.34</v>
      </c>
      <c r="F94" s="82">
        <f t="shared" si="0"/>
        <v>-0.34</v>
      </c>
    </row>
    <row r="95" spans="1:6" ht="14.25" customHeight="1">
      <c r="A95" s="8"/>
      <c r="B95" s="9"/>
      <c r="C95" s="9"/>
      <c r="D95" s="78"/>
      <c r="E95" s="78"/>
      <c r="F95" s="15">
        <f t="shared" si="0"/>
        <v>0</v>
      </c>
    </row>
    <row r="97" ht="12.75">
      <c r="C97" s="175" t="s">
        <v>542</v>
      </c>
    </row>
    <row r="98" spans="1:6" s="19" customFormat="1" ht="12.75">
      <c r="A98" s="235" t="s">
        <v>194</v>
      </c>
      <c r="B98" s="236" t="s">
        <v>177</v>
      </c>
      <c r="C98" s="237" t="s">
        <v>340</v>
      </c>
      <c r="D98" s="237" t="s">
        <v>298</v>
      </c>
      <c r="E98" s="237" t="s">
        <v>299</v>
      </c>
      <c r="F98" s="237" t="s">
        <v>300</v>
      </c>
    </row>
    <row r="99" spans="1:6" s="19" customFormat="1" ht="12.75">
      <c r="A99" s="235"/>
      <c r="B99" s="236"/>
      <c r="C99" s="237"/>
      <c r="D99" s="237"/>
      <c r="E99" s="237"/>
      <c r="F99" s="237"/>
    </row>
    <row r="100" spans="1:6" s="19" customFormat="1" ht="12.75">
      <c r="A100" s="235"/>
      <c r="B100" s="236"/>
      <c r="C100" s="237"/>
      <c r="D100" s="237"/>
      <c r="E100" s="237"/>
      <c r="F100" s="237"/>
    </row>
    <row r="101" spans="1:9" s="19" customFormat="1" ht="12.75">
      <c r="A101" s="35">
        <v>1</v>
      </c>
      <c r="B101" s="16" t="s">
        <v>77</v>
      </c>
      <c r="C101" s="16" t="s">
        <v>288</v>
      </c>
      <c r="D101" s="35">
        <v>4</v>
      </c>
      <c r="E101" s="35">
        <v>5</v>
      </c>
      <c r="F101" s="35">
        <v>6</v>
      </c>
      <c r="H101" s="148"/>
      <c r="I101" s="148"/>
    </row>
    <row r="102" spans="1:9" s="19" customFormat="1" ht="19.5" customHeight="1">
      <c r="A102" s="49" t="s">
        <v>78</v>
      </c>
      <c r="B102" s="73" t="s">
        <v>205</v>
      </c>
      <c r="C102" s="74" t="s">
        <v>286</v>
      </c>
      <c r="D102" s="94">
        <f>D104+D331+D349+D381+D444+D539+D547+D648+D653</f>
        <v>70711256.71</v>
      </c>
      <c r="E102" s="94">
        <f>E104+E331+E349+E381+E444+E547+E648+E653+E539</f>
        <v>66606567.89</v>
      </c>
      <c r="F102" s="95">
        <f>D102-E102</f>
        <v>4104688.82</v>
      </c>
      <c r="H102" s="148"/>
      <c r="I102" s="148"/>
    </row>
    <row r="103" spans="1:6" s="19" customFormat="1" ht="12.75">
      <c r="A103" t="s">
        <v>289</v>
      </c>
      <c r="B103" s="5"/>
      <c r="C103" s="6"/>
      <c r="D103" s="7"/>
      <c r="E103" s="7"/>
      <c r="F103" s="17"/>
    </row>
    <row r="104" spans="1:9" s="19" customFormat="1" ht="12.75">
      <c r="A104" s="39" t="s">
        <v>79</v>
      </c>
      <c r="B104" s="62" t="s">
        <v>205</v>
      </c>
      <c r="C104" s="67" t="s">
        <v>366</v>
      </c>
      <c r="D104" s="84">
        <f>D105+D119</f>
        <v>21687370.71</v>
      </c>
      <c r="E104" s="84">
        <f>E105+E119</f>
        <v>21498384.86</v>
      </c>
      <c r="F104" s="15">
        <f aca="true" t="shared" si="1" ref="F104:F141">D104-E104</f>
        <v>188985.850000001</v>
      </c>
      <c r="H104" s="148"/>
      <c r="I104" s="148"/>
    </row>
    <row r="105" spans="1:6" ht="12.75">
      <c r="A105" s="23" t="s">
        <v>178</v>
      </c>
      <c r="B105" s="63" t="s">
        <v>205</v>
      </c>
      <c r="C105" s="24" t="s">
        <v>367</v>
      </c>
      <c r="D105" s="85">
        <f>D106+D110+D116+D117</f>
        <v>21015177</v>
      </c>
      <c r="E105" s="85">
        <f>E106+E110+E116+E117</f>
        <v>20882378.54</v>
      </c>
      <c r="F105" s="15">
        <f t="shared" si="1"/>
        <v>132798.460000001</v>
      </c>
    </row>
    <row r="106" spans="1:6" ht="22.5">
      <c r="A106" s="23" t="s">
        <v>179</v>
      </c>
      <c r="B106" s="63" t="s">
        <v>205</v>
      </c>
      <c r="C106" s="24" t="s">
        <v>368</v>
      </c>
      <c r="D106" s="85">
        <f>SUM(D107:D109)</f>
        <v>18773530</v>
      </c>
      <c r="E106" s="85">
        <f>SUM(E107:E109)</f>
        <v>18765129.46</v>
      </c>
      <c r="F106" s="15">
        <f t="shared" si="1"/>
        <v>8400.5399999991</v>
      </c>
    </row>
    <row r="107" spans="1:8" ht="12.75">
      <c r="A107" s="23" t="s">
        <v>80</v>
      </c>
      <c r="B107" s="63" t="s">
        <v>205</v>
      </c>
      <c r="C107" s="24" t="s">
        <v>369</v>
      </c>
      <c r="D107" s="85">
        <f>D125+D182+D221</f>
        <v>14509000</v>
      </c>
      <c r="E107" s="85">
        <f>E125+E182+E221</f>
        <v>14503824.76</v>
      </c>
      <c r="F107" s="15">
        <f t="shared" si="1"/>
        <v>5175.24000000022</v>
      </c>
      <c r="H107" s="92"/>
    </row>
    <row r="108" spans="1:6" ht="12.75">
      <c r="A108" s="23" t="s">
        <v>180</v>
      </c>
      <c r="B108" s="63" t="s">
        <v>205</v>
      </c>
      <c r="C108" s="24" t="s">
        <v>370</v>
      </c>
      <c r="D108" s="85">
        <f>D222+D272</f>
        <v>44530</v>
      </c>
      <c r="E108" s="85">
        <f>E222+E272</f>
        <v>43768.55</v>
      </c>
      <c r="F108" s="15">
        <f t="shared" si="1"/>
        <v>761.449999999997</v>
      </c>
    </row>
    <row r="109" spans="1:8" ht="12.75">
      <c r="A109" s="23" t="s">
        <v>172</v>
      </c>
      <c r="B109" s="63" t="s">
        <v>205</v>
      </c>
      <c r="C109" s="24" t="s">
        <v>371</v>
      </c>
      <c r="D109" s="85">
        <f>D127+D184+D223</f>
        <v>4220000</v>
      </c>
      <c r="E109" s="85">
        <f>E127+E184+E223</f>
        <v>4217536.15</v>
      </c>
      <c r="F109" s="15">
        <f t="shared" si="1"/>
        <v>2463.84999999962</v>
      </c>
      <c r="H109" s="92"/>
    </row>
    <row r="110" spans="1:6" ht="12.75">
      <c r="A110" s="23" t="s">
        <v>181</v>
      </c>
      <c r="B110" s="63" t="s">
        <v>205</v>
      </c>
      <c r="C110" s="24" t="s">
        <v>372</v>
      </c>
      <c r="D110" s="85">
        <f>SUM(D111:D115)</f>
        <v>1857540</v>
      </c>
      <c r="E110" s="85">
        <f>SUM(E111:E115)</f>
        <v>1757073.41</v>
      </c>
      <c r="F110" s="15">
        <f t="shared" si="1"/>
        <v>100466.59</v>
      </c>
    </row>
    <row r="111" spans="1:6" ht="12.75">
      <c r="A111" s="23" t="s">
        <v>182</v>
      </c>
      <c r="B111" s="63" t="s">
        <v>205</v>
      </c>
      <c r="C111" s="24" t="s">
        <v>373</v>
      </c>
      <c r="D111" s="85">
        <f aca="true" t="shared" si="2" ref="D111:E115">D225+D274</f>
        <v>313000</v>
      </c>
      <c r="E111" s="85">
        <f t="shared" si="2"/>
        <v>288127.21</v>
      </c>
      <c r="F111" s="15">
        <f t="shared" si="1"/>
        <v>24872.79</v>
      </c>
    </row>
    <row r="112" spans="1:6" ht="12.75">
      <c r="A112" s="23" t="s">
        <v>173</v>
      </c>
      <c r="B112" s="63" t="s">
        <v>205</v>
      </c>
      <c r="C112" s="24" t="s">
        <v>374</v>
      </c>
      <c r="D112" s="85">
        <f t="shared" si="2"/>
        <v>5859</v>
      </c>
      <c r="E112" s="85">
        <f t="shared" si="2"/>
        <v>5574.4</v>
      </c>
      <c r="F112" s="15">
        <f t="shared" si="1"/>
        <v>284.6</v>
      </c>
    </row>
    <row r="113" spans="1:6" ht="11.25" customHeight="1">
      <c r="A113" s="23" t="s">
        <v>183</v>
      </c>
      <c r="B113" s="63" t="s">
        <v>205</v>
      </c>
      <c r="C113" s="24" t="s">
        <v>375</v>
      </c>
      <c r="D113" s="85">
        <f t="shared" si="2"/>
        <v>575000</v>
      </c>
      <c r="E113" s="85">
        <f t="shared" si="2"/>
        <v>568448.32</v>
      </c>
      <c r="F113" s="15">
        <f t="shared" si="1"/>
        <v>6551.68000000005</v>
      </c>
    </row>
    <row r="114" spans="1:6" ht="12.75">
      <c r="A114" s="23" t="s">
        <v>185</v>
      </c>
      <c r="B114" s="63" t="s">
        <v>205</v>
      </c>
      <c r="C114" s="24" t="s">
        <v>376</v>
      </c>
      <c r="D114" s="85">
        <f t="shared" si="2"/>
        <v>171000</v>
      </c>
      <c r="E114" s="85">
        <f t="shared" si="2"/>
        <v>167917.56</v>
      </c>
      <c r="F114" s="15">
        <f t="shared" si="1"/>
        <v>3082.44</v>
      </c>
    </row>
    <row r="115" spans="1:6" ht="12.75">
      <c r="A115" s="23" t="s">
        <v>186</v>
      </c>
      <c r="B115" s="63" t="s">
        <v>205</v>
      </c>
      <c r="C115" s="24" t="s">
        <v>377</v>
      </c>
      <c r="D115" s="85">
        <f t="shared" si="2"/>
        <v>792681</v>
      </c>
      <c r="E115" s="85">
        <f t="shared" si="2"/>
        <v>727005.92</v>
      </c>
      <c r="F115" s="15">
        <f t="shared" si="1"/>
        <v>65675.08</v>
      </c>
    </row>
    <row r="116" spans="1:6" ht="12.75">
      <c r="A116" s="23" t="s">
        <v>171</v>
      </c>
      <c r="B116" s="63" t="s">
        <v>205</v>
      </c>
      <c r="C116" s="24" t="s">
        <v>378</v>
      </c>
      <c r="D116" s="85">
        <f>D230+D268+D281</f>
        <v>359307</v>
      </c>
      <c r="E116" s="85">
        <f>E230+E268+E281</f>
        <v>335375.67</v>
      </c>
      <c r="F116" s="15">
        <f t="shared" si="1"/>
        <v>23931.33</v>
      </c>
    </row>
    <row r="117" spans="1:6" ht="12.75">
      <c r="A117" s="23" t="s">
        <v>436</v>
      </c>
      <c r="B117" s="63" t="s">
        <v>205</v>
      </c>
      <c r="C117" s="24" t="s">
        <v>438</v>
      </c>
      <c r="D117" s="85">
        <f>D118</f>
        <v>24800</v>
      </c>
      <c r="E117" s="85">
        <f>E118</f>
        <v>24800</v>
      </c>
      <c r="F117" s="15">
        <f t="shared" si="1"/>
        <v>0</v>
      </c>
    </row>
    <row r="118" spans="1:6" ht="33.75">
      <c r="A118" s="23" t="s">
        <v>437</v>
      </c>
      <c r="B118" s="63" t="s">
        <v>205</v>
      </c>
      <c r="C118" s="24" t="s">
        <v>439</v>
      </c>
      <c r="D118" s="85">
        <f>D262</f>
        <v>24800</v>
      </c>
      <c r="E118" s="85">
        <f>E262</f>
        <v>24800</v>
      </c>
      <c r="F118" s="15">
        <f t="shared" si="1"/>
        <v>0</v>
      </c>
    </row>
    <row r="119" spans="1:6" ht="16.5" customHeight="1">
      <c r="A119" s="23" t="s">
        <v>189</v>
      </c>
      <c r="B119" s="63" t="s">
        <v>205</v>
      </c>
      <c r="C119" s="24" t="s">
        <v>379</v>
      </c>
      <c r="D119" s="85">
        <f>D120+D121</f>
        <v>672193.71</v>
      </c>
      <c r="E119" s="85">
        <f>E120+E121</f>
        <v>616006.32</v>
      </c>
      <c r="F119" s="15">
        <f t="shared" si="1"/>
        <v>56187.39</v>
      </c>
    </row>
    <row r="120" spans="1:6" ht="22.5">
      <c r="A120" s="23" t="s">
        <v>190</v>
      </c>
      <c r="B120" s="63" t="s">
        <v>205</v>
      </c>
      <c r="C120" s="24" t="s">
        <v>380</v>
      </c>
      <c r="D120" s="85">
        <f>D232+D283</f>
        <v>87600</v>
      </c>
      <c r="E120" s="85">
        <f>E232+E283</f>
        <v>87132.73</v>
      </c>
      <c r="F120" s="82">
        <f t="shared" si="1"/>
        <v>467.27</v>
      </c>
    </row>
    <row r="121" spans="1:6" ht="22.5">
      <c r="A121" s="23" t="s">
        <v>191</v>
      </c>
      <c r="B121" s="63" t="s">
        <v>205</v>
      </c>
      <c r="C121" s="24" t="s">
        <v>381</v>
      </c>
      <c r="D121" s="85">
        <f>D233+D284</f>
        <v>584593.71</v>
      </c>
      <c r="E121" s="85">
        <f>E233+E284</f>
        <v>528873.59</v>
      </c>
      <c r="F121" s="15">
        <f t="shared" si="1"/>
        <v>55720.12</v>
      </c>
    </row>
    <row r="122" spans="1:6" s="19" customFormat="1" ht="12.75">
      <c r="A122" s="34" t="s">
        <v>168</v>
      </c>
      <c r="B122" s="63" t="s">
        <v>205</v>
      </c>
      <c r="C122" s="71" t="s">
        <v>469</v>
      </c>
      <c r="D122" s="85">
        <f>D123+D138</f>
        <v>1593000</v>
      </c>
      <c r="E122" s="85">
        <f>E123+E138</f>
        <v>1592229.24</v>
      </c>
      <c r="F122" s="82">
        <f t="shared" si="1"/>
        <v>770.76</v>
      </c>
    </row>
    <row r="123" spans="1:6" s="19" customFormat="1" ht="12.75">
      <c r="A123" s="27" t="s">
        <v>178</v>
      </c>
      <c r="B123" s="64" t="s">
        <v>205</v>
      </c>
      <c r="C123" s="28" t="s">
        <v>468</v>
      </c>
      <c r="D123" s="82">
        <f>D124+D128+D135+D137</f>
        <v>1593000</v>
      </c>
      <c r="E123" s="82">
        <f>E124+E128+E135+E137</f>
        <v>1592229.24</v>
      </c>
      <c r="F123" s="82">
        <f t="shared" si="1"/>
        <v>770.76</v>
      </c>
    </row>
    <row r="124" spans="1:6" s="19" customFormat="1" ht="22.5">
      <c r="A124" s="27" t="s">
        <v>179</v>
      </c>
      <c r="B124" s="64" t="s">
        <v>205</v>
      </c>
      <c r="C124" s="28" t="s">
        <v>467</v>
      </c>
      <c r="D124" s="82">
        <f>SUM(D125:D127)</f>
        <v>1593000</v>
      </c>
      <c r="E124" s="82">
        <f>SUM(E125:E127)</f>
        <v>1592229.24</v>
      </c>
      <c r="F124" s="82">
        <f t="shared" si="1"/>
        <v>770.76</v>
      </c>
    </row>
    <row r="125" spans="1:6" ht="12" customHeight="1">
      <c r="A125" s="25" t="s">
        <v>80</v>
      </c>
      <c r="B125" s="65" t="s">
        <v>205</v>
      </c>
      <c r="C125" s="26" t="s">
        <v>465</v>
      </c>
      <c r="D125" s="78">
        <v>1291000</v>
      </c>
      <c r="E125" s="78">
        <v>1290744.8</v>
      </c>
      <c r="F125" s="82">
        <f t="shared" si="1"/>
        <v>255.2</v>
      </c>
    </row>
    <row r="126" spans="1:6" ht="12.75" hidden="1">
      <c r="A126" s="25" t="s">
        <v>180</v>
      </c>
      <c r="B126" s="65" t="s">
        <v>205</v>
      </c>
      <c r="C126" s="26" t="s">
        <v>423</v>
      </c>
      <c r="D126" s="78"/>
      <c r="E126" s="78"/>
      <c r="F126" s="82">
        <f t="shared" si="1"/>
        <v>0</v>
      </c>
    </row>
    <row r="127" spans="1:6" ht="12.75">
      <c r="A127" s="25" t="s">
        <v>172</v>
      </c>
      <c r="B127" s="65" t="s">
        <v>205</v>
      </c>
      <c r="C127" s="26" t="s">
        <v>466</v>
      </c>
      <c r="D127" s="78">
        <v>302000</v>
      </c>
      <c r="E127" s="78">
        <v>301484.44</v>
      </c>
      <c r="F127" s="82">
        <f t="shared" si="1"/>
        <v>515.56</v>
      </c>
    </row>
    <row r="128" spans="1:6" s="29" customFormat="1" ht="12.75" hidden="1">
      <c r="A128" s="27" t="s">
        <v>181</v>
      </c>
      <c r="B128" s="64" t="s">
        <v>205</v>
      </c>
      <c r="C128" s="28" t="s">
        <v>81</v>
      </c>
      <c r="D128" s="82">
        <f>SUM(D129:D134)</f>
        <v>0</v>
      </c>
      <c r="E128" s="82">
        <f>SUM(E129:E134)</f>
        <v>0</v>
      </c>
      <c r="F128" s="82">
        <f t="shared" si="1"/>
        <v>0</v>
      </c>
    </row>
    <row r="129" spans="1:6" ht="12.75" hidden="1">
      <c r="A129" s="25" t="s">
        <v>182</v>
      </c>
      <c r="B129" s="65" t="s">
        <v>205</v>
      </c>
      <c r="C129" s="26" t="s">
        <v>82</v>
      </c>
      <c r="D129" s="78"/>
      <c r="E129" s="78"/>
      <c r="F129" s="82">
        <f t="shared" si="1"/>
        <v>0</v>
      </c>
    </row>
    <row r="130" spans="1:6" ht="12.75" hidden="1">
      <c r="A130" s="25" t="s">
        <v>173</v>
      </c>
      <c r="B130" s="65" t="s">
        <v>205</v>
      </c>
      <c r="C130" s="26" t="s">
        <v>83</v>
      </c>
      <c r="D130" s="78"/>
      <c r="E130" s="78"/>
      <c r="F130" s="82">
        <f t="shared" si="1"/>
        <v>0</v>
      </c>
    </row>
    <row r="131" spans="1:6" ht="12.75" hidden="1">
      <c r="A131" s="25" t="s">
        <v>183</v>
      </c>
      <c r="B131" s="65" t="s">
        <v>205</v>
      </c>
      <c r="C131" s="26" t="s">
        <v>84</v>
      </c>
      <c r="D131" s="78"/>
      <c r="E131" s="78"/>
      <c r="F131" s="82">
        <f t="shared" si="1"/>
        <v>0</v>
      </c>
    </row>
    <row r="132" spans="1:6" ht="22.5" hidden="1">
      <c r="A132" s="25" t="s">
        <v>184</v>
      </c>
      <c r="B132" s="65" t="s">
        <v>205</v>
      </c>
      <c r="C132" s="26" t="s">
        <v>85</v>
      </c>
      <c r="D132" s="78"/>
      <c r="E132" s="78"/>
      <c r="F132" s="82">
        <f t="shared" si="1"/>
        <v>0</v>
      </c>
    </row>
    <row r="133" spans="1:6" ht="12.75" hidden="1">
      <c r="A133" s="25" t="s">
        <v>185</v>
      </c>
      <c r="B133" s="65" t="s">
        <v>205</v>
      </c>
      <c r="C133" s="26" t="s">
        <v>86</v>
      </c>
      <c r="D133" s="78"/>
      <c r="E133" s="78"/>
      <c r="F133" s="82">
        <f t="shared" si="1"/>
        <v>0</v>
      </c>
    </row>
    <row r="134" spans="1:6" ht="12.75" hidden="1">
      <c r="A134" s="25" t="s">
        <v>186</v>
      </c>
      <c r="B134" s="65" t="s">
        <v>205</v>
      </c>
      <c r="C134" s="26" t="s">
        <v>87</v>
      </c>
      <c r="D134" s="78"/>
      <c r="E134" s="78"/>
      <c r="F134" s="82">
        <f t="shared" si="1"/>
        <v>0</v>
      </c>
    </row>
    <row r="135" spans="1:6" s="29" customFormat="1" ht="12.75" hidden="1">
      <c r="A135" s="27" t="s">
        <v>187</v>
      </c>
      <c r="B135" s="64" t="s">
        <v>205</v>
      </c>
      <c r="C135" s="28" t="s">
        <v>88</v>
      </c>
      <c r="D135" s="82">
        <f>SUM(D136:D136)</f>
        <v>0</v>
      </c>
      <c r="E135" s="82">
        <f>SUM(E136:E136)</f>
        <v>0</v>
      </c>
      <c r="F135" s="82">
        <f t="shared" si="1"/>
        <v>0</v>
      </c>
    </row>
    <row r="136" spans="1:6" ht="22.5" hidden="1">
      <c r="A136" s="25" t="s">
        <v>188</v>
      </c>
      <c r="B136" s="65" t="s">
        <v>205</v>
      </c>
      <c r="C136" s="26" t="s">
        <v>89</v>
      </c>
      <c r="D136" s="78"/>
      <c r="E136" s="78"/>
      <c r="F136" s="82">
        <f t="shared" si="1"/>
        <v>0</v>
      </c>
    </row>
    <row r="137" spans="1:6" ht="12.75" hidden="1">
      <c r="A137" s="25" t="s">
        <v>171</v>
      </c>
      <c r="B137" s="65" t="s">
        <v>205</v>
      </c>
      <c r="C137" s="26" t="s">
        <v>90</v>
      </c>
      <c r="D137" s="78"/>
      <c r="E137" s="78"/>
      <c r="F137" s="82">
        <f t="shared" si="1"/>
        <v>0</v>
      </c>
    </row>
    <row r="138" spans="1:6" s="29" customFormat="1" ht="12.75" hidden="1">
      <c r="A138" s="27" t="s">
        <v>189</v>
      </c>
      <c r="B138" s="64" t="s">
        <v>205</v>
      </c>
      <c r="C138" s="28" t="s">
        <v>91</v>
      </c>
      <c r="D138" s="82">
        <f>SUM(D139:D140)</f>
        <v>0</v>
      </c>
      <c r="E138" s="82">
        <f>SUM(E139:E140)</f>
        <v>0</v>
      </c>
      <c r="F138" s="82">
        <f t="shared" si="1"/>
        <v>0</v>
      </c>
    </row>
    <row r="139" spans="1:6" ht="22.5" hidden="1">
      <c r="A139" s="25" t="s">
        <v>190</v>
      </c>
      <c r="B139" s="65" t="s">
        <v>205</v>
      </c>
      <c r="C139" s="26" t="s">
        <v>92</v>
      </c>
      <c r="D139" s="78"/>
      <c r="E139" s="78"/>
      <c r="F139" s="82">
        <f t="shared" si="1"/>
        <v>0</v>
      </c>
    </row>
    <row r="140" spans="1:6" ht="22.5" hidden="1">
      <c r="A140" s="25" t="s">
        <v>191</v>
      </c>
      <c r="B140" s="65" t="s">
        <v>205</v>
      </c>
      <c r="C140" s="26" t="s">
        <v>93</v>
      </c>
      <c r="D140" s="78"/>
      <c r="E140" s="78"/>
      <c r="F140" s="82">
        <f t="shared" si="1"/>
        <v>0</v>
      </c>
    </row>
    <row r="141" spans="1:6" ht="76.5">
      <c r="A141" s="31" t="s">
        <v>169</v>
      </c>
      <c r="B141" s="66" t="s">
        <v>205</v>
      </c>
      <c r="C141" s="70" t="s">
        <v>150</v>
      </c>
      <c r="D141" s="86">
        <f>D179</f>
        <v>1235000</v>
      </c>
      <c r="E141" s="86">
        <f>E179</f>
        <v>1229123.43</v>
      </c>
      <c r="F141" s="82">
        <f t="shared" si="1"/>
        <v>5876.57</v>
      </c>
    </row>
    <row r="142" spans="1:6" s="19" customFormat="1" ht="1.5" customHeight="1">
      <c r="A142" s="27" t="s">
        <v>178</v>
      </c>
      <c r="B142" s="64" t="s">
        <v>205</v>
      </c>
      <c r="C142" s="28" t="s">
        <v>151</v>
      </c>
      <c r="D142" s="82">
        <f>D143+D147+D154+D156</f>
        <v>1235000</v>
      </c>
      <c r="E142" s="82">
        <f>E143+E147+E154+E156</f>
        <v>1482969.93</v>
      </c>
      <c r="F142" s="82">
        <f aca="true" t="shared" si="3" ref="F142:F205">D142-E142</f>
        <v>-247969.93</v>
      </c>
    </row>
    <row r="143" spans="1:6" s="19" customFormat="1" ht="22.5" hidden="1">
      <c r="A143" s="27" t="s">
        <v>179</v>
      </c>
      <c r="B143" s="64" t="s">
        <v>205</v>
      </c>
      <c r="C143" s="28" t="s">
        <v>152</v>
      </c>
      <c r="D143" s="82">
        <f>SUM(D144:D146)</f>
        <v>1235000</v>
      </c>
      <c r="E143" s="82">
        <f>SUM(E144:E146)</f>
        <v>1448526.88</v>
      </c>
      <c r="F143" s="82">
        <f t="shared" si="3"/>
        <v>-213526.88</v>
      </c>
    </row>
    <row r="144" spans="1:6" s="19" customFormat="1" ht="12.75" hidden="1">
      <c r="A144" s="27" t="s">
        <v>80</v>
      </c>
      <c r="B144" s="64" t="s">
        <v>205</v>
      </c>
      <c r="C144" s="28" t="s">
        <v>153</v>
      </c>
      <c r="D144" s="82">
        <f aca="true" t="shared" si="4" ref="D144:E146">D163+D182+D201</f>
        <v>980000</v>
      </c>
      <c r="E144" s="82">
        <f t="shared" si="4"/>
        <v>1139481.69</v>
      </c>
      <c r="F144" s="82">
        <f t="shared" si="3"/>
        <v>-159481.69</v>
      </c>
    </row>
    <row r="145" spans="1:6" s="19" customFormat="1" ht="12.75" hidden="1">
      <c r="A145" s="27" t="s">
        <v>180</v>
      </c>
      <c r="B145" s="64" t="s">
        <v>205</v>
      </c>
      <c r="C145" s="28" t="s">
        <v>154</v>
      </c>
      <c r="D145" s="82">
        <f t="shared" si="4"/>
        <v>0</v>
      </c>
      <c r="E145" s="82">
        <f t="shared" si="4"/>
        <v>7560</v>
      </c>
      <c r="F145" s="82">
        <f t="shared" si="3"/>
        <v>-7560</v>
      </c>
    </row>
    <row r="146" spans="1:6" s="19" customFormat="1" ht="12.75" hidden="1">
      <c r="A146" s="27" t="s">
        <v>172</v>
      </c>
      <c r="B146" s="64" t="s">
        <v>205</v>
      </c>
      <c r="C146" s="28" t="s">
        <v>155</v>
      </c>
      <c r="D146" s="82">
        <f t="shared" si="4"/>
        <v>255000</v>
      </c>
      <c r="E146" s="82">
        <f t="shared" si="4"/>
        <v>301485.19</v>
      </c>
      <c r="F146" s="82">
        <f t="shared" si="3"/>
        <v>-46485.19</v>
      </c>
    </row>
    <row r="147" spans="1:6" s="19" customFormat="1" ht="12.75" hidden="1">
      <c r="A147" s="27" t="s">
        <v>181</v>
      </c>
      <c r="B147" s="64" t="s">
        <v>205</v>
      </c>
      <c r="C147" s="28" t="s">
        <v>156</v>
      </c>
      <c r="D147" s="82">
        <f>SUM(D148:D153)</f>
        <v>0</v>
      </c>
      <c r="E147" s="82">
        <f>SUM(E148:E153)</f>
        <v>32810.39</v>
      </c>
      <c r="F147" s="82">
        <f t="shared" si="3"/>
        <v>-32810.39</v>
      </c>
    </row>
    <row r="148" spans="1:6" s="19" customFormat="1" ht="12.75" hidden="1">
      <c r="A148" s="27" t="s">
        <v>182</v>
      </c>
      <c r="B148" s="64" t="s">
        <v>205</v>
      </c>
      <c r="C148" s="28" t="s">
        <v>157</v>
      </c>
      <c r="D148" s="82">
        <f aca="true" t="shared" si="5" ref="D148:E153">D167+D186+D205</f>
        <v>0</v>
      </c>
      <c r="E148" s="82">
        <f t="shared" si="5"/>
        <v>11981.52</v>
      </c>
      <c r="F148" s="82">
        <f t="shared" si="3"/>
        <v>-11981.52</v>
      </c>
    </row>
    <row r="149" spans="1:6" s="19" customFormat="1" ht="12.75" hidden="1">
      <c r="A149" s="27" t="s">
        <v>173</v>
      </c>
      <c r="B149" s="64" t="s">
        <v>205</v>
      </c>
      <c r="C149" s="28" t="s">
        <v>158</v>
      </c>
      <c r="D149" s="82">
        <f t="shared" si="5"/>
        <v>0</v>
      </c>
      <c r="E149" s="82">
        <f t="shared" si="5"/>
        <v>8789.3</v>
      </c>
      <c r="F149" s="82">
        <f t="shared" si="3"/>
        <v>-8789.3</v>
      </c>
    </row>
    <row r="150" spans="1:6" s="19" customFormat="1" ht="12" customHeight="1" hidden="1">
      <c r="A150" s="27" t="s">
        <v>183</v>
      </c>
      <c r="B150" s="64" t="s">
        <v>205</v>
      </c>
      <c r="C150" s="28" t="s">
        <v>159</v>
      </c>
      <c r="D150" s="82">
        <f t="shared" si="5"/>
        <v>0</v>
      </c>
      <c r="E150" s="82">
        <f t="shared" si="5"/>
        <v>0</v>
      </c>
      <c r="F150" s="82">
        <f t="shared" si="3"/>
        <v>0</v>
      </c>
    </row>
    <row r="151" spans="1:6" s="19" customFormat="1" ht="22.5" hidden="1">
      <c r="A151" s="27" t="s">
        <v>184</v>
      </c>
      <c r="B151" s="64" t="s">
        <v>205</v>
      </c>
      <c r="C151" s="28" t="s">
        <v>160</v>
      </c>
      <c r="D151" s="82">
        <f t="shared" si="5"/>
        <v>0</v>
      </c>
      <c r="E151" s="82">
        <f t="shared" si="5"/>
        <v>0</v>
      </c>
      <c r="F151" s="82">
        <f t="shared" si="3"/>
        <v>0</v>
      </c>
    </row>
    <row r="152" spans="1:6" s="19" customFormat="1" ht="12.75" hidden="1">
      <c r="A152" s="27" t="s">
        <v>185</v>
      </c>
      <c r="B152" s="64" t="s">
        <v>205</v>
      </c>
      <c r="C152" s="28" t="s">
        <v>161</v>
      </c>
      <c r="D152" s="82">
        <f t="shared" si="5"/>
        <v>0</v>
      </c>
      <c r="E152" s="82">
        <f t="shared" si="5"/>
        <v>3150</v>
      </c>
      <c r="F152" s="82">
        <f t="shared" si="3"/>
        <v>-3150</v>
      </c>
    </row>
    <row r="153" spans="1:6" s="19" customFormat="1" ht="12.75" hidden="1">
      <c r="A153" s="27" t="s">
        <v>186</v>
      </c>
      <c r="B153" s="64" t="s">
        <v>205</v>
      </c>
      <c r="C153" s="28" t="s">
        <v>162</v>
      </c>
      <c r="D153" s="82">
        <f t="shared" si="5"/>
        <v>0</v>
      </c>
      <c r="E153" s="82">
        <f t="shared" si="5"/>
        <v>8889.57</v>
      </c>
      <c r="F153" s="82">
        <f t="shared" si="3"/>
        <v>-8889.57</v>
      </c>
    </row>
    <row r="154" spans="1:6" s="19" customFormat="1" ht="11.25" customHeight="1" hidden="1">
      <c r="A154" s="27" t="s">
        <v>187</v>
      </c>
      <c r="B154" s="64" t="s">
        <v>205</v>
      </c>
      <c r="C154" s="28" t="s">
        <v>163</v>
      </c>
      <c r="D154" s="82">
        <f>SUM(D155:D155)</f>
        <v>0</v>
      </c>
      <c r="E154" s="82">
        <f>SUM(E155:E155)</f>
        <v>0</v>
      </c>
      <c r="F154" s="82">
        <f t="shared" si="3"/>
        <v>0</v>
      </c>
    </row>
    <row r="155" spans="1:6" s="19" customFormat="1" ht="22.5" hidden="1">
      <c r="A155" s="27" t="s">
        <v>188</v>
      </c>
      <c r="B155" s="64" t="s">
        <v>205</v>
      </c>
      <c r="C155" s="28" t="s">
        <v>33</v>
      </c>
      <c r="D155" s="82">
        <f>D174+D193+D212</f>
        <v>0</v>
      </c>
      <c r="E155" s="82">
        <f>E174+E193+E212</f>
        <v>0</v>
      </c>
      <c r="F155" s="82">
        <f t="shared" si="3"/>
        <v>0</v>
      </c>
    </row>
    <row r="156" spans="1:6" s="19" customFormat="1" ht="12.75" hidden="1">
      <c r="A156" s="27" t="s">
        <v>171</v>
      </c>
      <c r="B156" s="64" t="s">
        <v>205</v>
      </c>
      <c r="C156" s="28" t="s">
        <v>164</v>
      </c>
      <c r="D156" s="82">
        <f>D175+D194+D213</f>
        <v>0</v>
      </c>
      <c r="E156" s="82">
        <f>E175+E194+E213</f>
        <v>1632.66</v>
      </c>
      <c r="F156" s="82">
        <f t="shared" si="3"/>
        <v>-1632.66</v>
      </c>
    </row>
    <row r="157" spans="1:6" s="19" customFormat="1" ht="12.75" hidden="1">
      <c r="A157" s="27" t="s">
        <v>189</v>
      </c>
      <c r="B157" s="64" t="s">
        <v>205</v>
      </c>
      <c r="C157" s="28" t="s">
        <v>165</v>
      </c>
      <c r="D157" s="82">
        <f>SUM(D158:D159)</f>
        <v>0</v>
      </c>
      <c r="E157" s="82">
        <f>SUM(E158:E159)</f>
        <v>10518.5</v>
      </c>
      <c r="F157" s="82">
        <f t="shared" si="3"/>
        <v>-10518.5</v>
      </c>
    </row>
    <row r="158" spans="1:6" s="19" customFormat="1" ht="0.75" customHeight="1" hidden="1">
      <c r="A158" s="27" t="s">
        <v>190</v>
      </c>
      <c r="B158" s="64" t="s">
        <v>205</v>
      </c>
      <c r="C158" s="28" t="s">
        <v>166</v>
      </c>
      <c r="D158" s="82">
        <f>D177+D196+D215</f>
        <v>0</v>
      </c>
      <c r="E158" s="82">
        <f>E177+E196+E215</f>
        <v>0</v>
      </c>
      <c r="F158" s="82">
        <f t="shared" si="3"/>
        <v>0</v>
      </c>
    </row>
    <row r="159" spans="1:6" s="19" customFormat="1" ht="21.75" customHeight="1" hidden="1">
      <c r="A159" s="27" t="s">
        <v>191</v>
      </c>
      <c r="B159" s="64" t="s">
        <v>205</v>
      </c>
      <c r="C159" s="28" t="s">
        <v>167</v>
      </c>
      <c r="D159" s="82">
        <f>D178+D197+D216</f>
        <v>0</v>
      </c>
      <c r="E159" s="82">
        <f>E178+E197+E216</f>
        <v>10518.5</v>
      </c>
      <c r="F159" s="82">
        <f t="shared" si="3"/>
        <v>-10518.5</v>
      </c>
    </row>
    <row r="160" spans="1:6" s="19" customFormat="1" ht="23.25" customHeight="1" hidden="1">
      <c r="A160" s="33" t="s">
        <v>170</v>
      </c>
      <c r="B160" s="63" t="s">
        <v>205</v>
      </c>
      <c r="C160" s="24" t="s">
        <v>107</v>
      </c>
      <c r="D160" s="85">
        <f>D161+D176</f>
        <v>0</v>
      </c>
      <c r="E160" s="85">
        <f>E161+E176</f>
        <v>264365</v>
      </c>
      <c r="F160" s="82">
        <f t="shared" si="3"/>
        <v>-264365</v>
      </c>
    </row>
    <row r="161" spans="1:6" s="19" customFormat="1" ht="12.75" hidden="1">
      <c r="A161" s="27" t="s">
        <v>178</v>
      </c>
      <c r="B161" s="64" t="s">
        <v>205</v>
      </c>
      <c r="C161" s="28" t="s">
        <v>108</v>
      </c>
      <c r="D161" s="82">
        <f>D162+D166+D173+D175</f>
        <v>0</v>
      </c>
      <c r="E161" s="82">
        <f>E162+E166+E173+E175</f>
        <v>253846.5</v>
      </c>
      <c r="F161" s="82">
        <f t="shared" si="3"/>
        <v>-253846.5</v>
      </c>
    </row>
    <row r="162" spans="1:6" s="19" customFormat="1" ht="22.5" hidden="1">
      <c r="A162" s="27" t="s">
        <v>179</v>
      </c>
      <c r="B162" s="64" t="s">
        <v>205</v>
      </c>
      <c r="C162" s="28" t="s">
        <v>109</v>
      </c>
      <c r="D162" s="82">
        <f>SUM(D163:D165)</f>
        <v>0</v>
      </c>
      <c r="E162" s="82">
        <f>SUM(E163:E165)</f>
        <v>219403.45</v>
      </c>
      <c r="F162" s="82">
        <f t="shared" si="3"/>
        <v>-219403.45</v>
      </c>
    </row>
    <row r="163" spans="1:6" s="19" customFormat="1" ht="15" customHeight="1" hidden="1">
      <c r="A163" s="25" t="s">
        <v>80</v>
      </c>
      <c r="B163" s="65" t="s">
        <v>205</v>
      </c>
      <c r="C163" s="26" t="s">
        <v>110</v>
      </c>
      <c r="D163" s="78"/>
      <c r="E163" s="78">
        <f>39330.71+20145+20145+20145+20145+43748.88</f>
        <v>163659.59</v>
      </c>
      <c r="F163" s="82">
        <f t="shared" si="3"/>
        <v>-163659.59</v>
      </c>
    </row>
    <row r="164" spans="1:6" s="19" customFormat="1" ht="12.75" hidden="1">
      <c r="A164" s="25" t="s">
        <v>180</v>
      </c>
      <c r="B164" s="65" t="s">
        <v>205</v>
      </c>
      <c r="C164" s="26" t="s">
        <v>111</v>
      </c>
      <c r="D164" s="78"/>
      <c r="E164" s="78">
        <f>5130+810+1620</f>
        <v>7560</v>
      </c>
      <c r="F164" s="82">
        <f t="shared" si="3"/>
        <v>-7560</v>
      </c>
    </row>
    <row r="165" spans="1:6" s="19" customFormat="1" ht="14.25" customHeight="1" hidden="1">
      <c r="A165" s="25" t="s">
        <v>172</v>
      </c>
      <c r="B165" s="65" t="s">
        <v>205</v>
      </c>
      <c r="C165" s="26" t="s">
        <v>112</v>
      </c>
      <c r="D165" s="78"/>
      <c r="E165" s="78">
        <f>11844.53+6083.79+6083.79+6083.79+6083.79+12004.17</f>
        <v>48183.86</v>
      </c>
      <c r="F165" s="82">
        <f t="shared" si="3"/>
        <v>-48183.86</v>
      </c>
    </row>
    <row r="166" spans="1:6" s="19" customFormat="1" ht="12.75" hidden="1">
      <c r="A166" s="27" t="s">
        <v>181</v>
      </c>
      <c r="B166" s="64" t="s">
        <v>205</v>
      </c>
      <c r="C166" s="28" t="s">
        <v>113</v>
      </c>
      <c r="D166" s="82">
        <f>SUM(D167:D172)</f>
        <v>0</v>
      </c>
      <c r="E166" s="82">
        <f>SUM(E167:E172)</f>
        <v>32810.39</v>
      </c>
      <c r="F166" s="82">
        <f t="shared" si="3"/>
        <v>-32810.39</v>
      </c>
    </row>
    <row r="167" spans="1:6" s="19" customFormat="1" ht="12.75" hidden="1">
      <c r="A167" s="25" t="s">
        <v>182</v>
      </c>
      <c r="B167" s="65" t="s">
        <v>205</v>
      </c>
      <c r="C167" s="26" t="s">
        <v>114</v>
      </c>
      <c r="D167" s="78"/>
      <c r="E167" s="78">
        <f>6837.25+1246.47+942.48+732.83+985.66+1236.83</f>
        <v>11981.52</v>
      </c>
      <c r="F167" s="82">
        <f t="shared" si="3"/>
        <v>-11981.52</v>
      </c>
    </row>
    <row r="168" spans="1:6" s="19" customFormat="1" ht="12.75" hidden="1">
      <c r="A168" s="25" t="s">
        <v>173</v>
      </c>
      <c r="B168" s="65" t="s">
        <v>205</v>
      </c>
      <c r="C168" s="26" t="s">
        <v>115</v>
      </c>
      <c r="D168" s="78"/>
      <c r="E168" s="78">
        <f>6815.7+236+1737.6</f>
        <v>8789.3</v>
      </c>
      <c r="F168" s="82">
        <f t="shared" si="3"/>
        <v>-8789.3</v>
      </c>
    </row>
    <row r="169" spans="1:6" s="19" customFormat="1" ht="12" customHeight="1" hidden="1">
      <c r="A169" s="25" t="s">
        <v>183</v>
      </c>
      <c r="B169" s="65" t="s">
        <v>205</v>
      </c>
      <c r="C169" s="26" t="s">
        <v>116</v>
      </c>
      <c r="D169" s="78"/>
      <c r="E169" s="78">
        <v>0</v>
      </c>
      <c r="F169" s="82">
        <f t="shared" si="3"/>
        <v>0</v>
      </c>
    </row>
    <row r="170" spans="1:6" s="19" customFormat="1" ht="22.5" hidden="1">
      <c r="A170" s="25" t="s">
        <v>184</v>
      </c>
      <c r="B170" s="65" t="s">
        <v>205</v>
      </c>
      <c r="C170" s="26" t="s">
        <v>117</v>
      </c>
      <c r="D170" s="78"/>
      <c r="E170" s="78"/>
      <c r="F170" s="82">
        <f t="shared" si="3"/>
        <v>0</v>
      </c>
    </row>
    <row r="171" spans="1:6" s="19" customFormat="1" ht="12.75" hidden="1">
      <c r="A171" s="25" t="s">
        <v>185</v>
      </c>
      <c r="B171" s="65" t="s">
        <v>205</v>
      </c>
      <c r="C171" s="26" t="s">
        <v>118</v>
      </c>
      <c r="D171" s="78"/>
      <c r="E171" s="78">
        <f>450+1200+1500</f>
        <v>3150</v>
      </c>
      <c r="F171" s="82">
        <f t="shared" si="3"/>
        <v>-3150</v>
      </c>
    </row>
    <row r="172" spans="1:6" s="19" customFormat="1" ht="11.25" customHeight="1" hidden="1">
      <c r="A172" s="25" t="s">
        <v>186</v>
      </c>
      <c r="B172" s="65" t="s">
        <v>205</v>
      </c>
      <c r="C172" s="26" t="s">
        <v>119</v>
      </c>
      <c r="D172" s="78"/>
      <c r="E172" s="78">
        <f>648+2035.5+3631.07+2575</f>
        <v>8889.57</v>
      </c>
      <c r="F172" s="82">
        <f t="shared" si="3"/>
        <v>-8889.57</v>
      </c>
    </row>
    <row r="173" spans="1:6" s="19" customFormat="1" ht="2.25" customHeight="1" hidden="1">
      <c r="A173" s="27" t="s">
        <v>187</v>
      </c>
      <c r="B173" s="64" t="s">
        <v>205</v>
      </c>
      <c r="C173" s="28" t="s">
        <v>120</v>
      </c>
      <c r="D173" s="82"/>
      <c r="E173" s="82">
        <f>SUM(E174:E174)</f>
        <v>0</v>
      </c>
      <c r="F173" s="82">
        <f t="shared" si="3"/>
        <v>0</v>
      </c>
    </row>
    <row r="174" spans="1:6" s="19" customFormat="1" ht="22.5" hidden="1">
      <c r="A174" s="25" t="s">
        <v>188</v>
      </c>
      <c r="B174" s="65" t="s">
        <v>205</v>
      </c>
      <c r="C174" s="26" t="s">
        <v>121</v>
      </c>
      <c r="D174" s="78"/>
      <c r="E174" s="78"/>
      <c r="F174" s="82">
        <f t="shared" si="3"/>
        <v>0</v>
      </c>
    </row>
    <row r="175" spans="1:6" s="19" customFormat="1" ht="12.75" hidden="1">
      <c r="A175" s="25" t="s">
        <v>171</v>
      </c>
      <c r="B175" s="65" t="s">
        <v>205</v>
      </c>
      <c r="C175" s="26" t="s">
        <v>122</v>
      </c>
      <c r="D175" s="78"/>
      <c r="E175" s="78">
        <f>5.66+994+6+123+504</f>
        <v>1632.66</v>
      </c>
      <c r="F175" s="82">
        <f t="shared" si="3"/>
        <v>-1632.66</v>
      </c>
    </row>
    <row r="176" spans="1:6" s="19" customFormat="1" ht="12.75" hidden="1">
      <c r="A176" s="27" t="s">
        <v>189</v>
      </c>
      <c r="B176" s="64" t="s">
        <v>205</v>
      </c>
      <c r="C176" s="28" t="s">
        <v>123</v>
      </c>
      <c r="D176" s="82">
        <f>SUM(D177:D178)</f>
        <v>0</v>
      </c>
      <c r="E176" s="82">
        <f>SUM(E177:E178)</f>
        <v>10518.5</v>
      </c>
      <c r="F176" s="82">
        <f t="shared" si="3"/>
        <v>-10518.5</v>
      </c>
    </row>
    <row r="177" spans="1:6" ht="12.75" customHeight="1" hidden="1">
      <c r="A177" s="25" t="s">
        <v>190</v>
      </c>
      <c r="B177" s="65" t="s">
        <v>205</v>
      </c>
      <c r="C177" s="26" t="s">
        <v>126</v>
      </c>
      <c r="D177" s="78"/>
      <c r="E177" s="78">
        <v>0</v>
      </c>
      <c r="F177" s="82">
        <f t="shared" si="3"/>
        <v>0</v>
      </c>
    </row>
    <row r="178" spans="1:6" ht="22.5" customHeight="1" hidden="1">
      <c r="A178" s="25" t="s">
        <v>191</v>
      </c>
      <c r="B178" s="65" t="s">
        <v>205</v>
      </c>
      <c r="C178" s="26" t="s">
        <v>127</v>
      </c>
      <c r="D178" s="150"/>
      <c r="E178" s="150">
        <f>3935+940.5+4125+1518</f>
        <v>10518.5</v>
      </c>
      <c r="F178" s="151">
        <f t="shared" si="3"/>
        <v>-10518.5</v>
      </c>
    </row>
    <row r="179" spans="1:6" s="19" customFormat="1" ht="25.5" customHeight="1">
      <c r="A179" s="33" t="s">
        <v>204</v>
      </c>
      <c r="B179" s="63" t="s">
        <v>205</v>
      </c>
      <c r="C179" s="24" t="s">
        <v>470</v>
      </c>
      <c r="D179" s="85">
        <f>D180+D195</f>
        <v>1235000</v>
      </c>
      <c r="E179" s="85">
        <f>E180+E195</f>
        <v>1229123.43</v>
      </c>
      <c r="F179" s="82">
        <f t="shared" si="3"/>
        <v>5876.57</v>
      </c>
    </row>
    <row r="180" spans="1:6" s="19" customFormat="1" ht="12.75">
      <c r="A180" s="27" t="s">
        <v>178</v>
      </c>
      <c r="B180" s="64" t="s">
        <v>205</v>
      </c>
      <c r="C180" s="28" t="s">
        <v>471</v>
      </c>
      <c r="D180" s="82">
        <f>D181+D185+D192+D194</f>
        <v>1235000</v>
      </c>
      <c r="E180" s="82">
        <f>E181+E185+E192+E194</f>
        <v>1229123.43</v>
      </c>
      <c r="F180" s="82">
        <f t="shared" si="3"/>
        <v>5876.57</v>
      </c>
    </row>
    <row r="181" spans="1:6" s="19" customFormat="1" ht="22.5">
      <c r="A181" s="27" t="s">
        <v>179</v>
      </c>
      <c r="B181" s="64" t="s">
        <v>205</v>
      </c>
      <c r="C181" s="28" t="s">
        <v>472</v>
      </c>
      <c r="D181" s="82">
        <f>SUM(D182:D184)</f>
        <v>1235000</v>
      </c>
      <c r="E181" s="82">
        <f>SUM(E182:E184)</f>
        <v>1229123.43</v>
      </c>
      <c r="F181" s="82">
        <f t="shared" si="3"/>
        <v>5876.57</v>
      </c>
    </row>
    <row r="182" spans="1:10" s="19" customFormat="1" ht="12.75">
      <c r="A182" s="25" t="s">
        <v>80</v>
      </c>
      <c r="B182" s="65" t="s">
        <v>205</v>
      </c>
      <c r="C182" s="26" t="s">
        <v>473</v>
      </c>
      <c r="D182" s="78">
        <v>980000</v>
      </c>
      <c r="E182" s="78">
        <v>975822.1</v>
      </c>
      <c r="F182" s="82">
        <f t="shared" si="3"/>
        <v>4177.9</v>
      </c>
      <c r="I182" s="148"/>
      <c r="J182" s="148"/>
    </row>
    <row r="183" spans="1:6" s="19" customFormat="1" ht="17.25" customHeight="1" hidden="1">
      <c r="A183" s="25" t="s">
        <v>180</v>
      </c>
      <c r="B183" s="65" t="s">
        <v>205</v>
      </c>
      <c r="C183" s="26" t="s">
        <v>424</v>
      </c>
      <c r="D183" s="78">
        <v>0</v>
      </c>
      <c r="E183" s="78">
        <f>0</f>
        <v>0</v>
      </c>
      <c r="F183" s="82">
        <f t="shared" si="3"/>
        <v>0</v>
      </c>
    </row>
    <row r="184" spans="1:6" s="19" customFormat="1" ht="12.75">
      <c r="A184" s="25" t="s">
        <v>172</v>
      </c>
      <c r="B184" s="65" t="s">
        <v>205</v>
      </c>
      <c r="C184" s="26" t="s">
        <v>474</v>
      </c>
      <c r="D184" s="78">
        <v>255000</v>
      </c>
      <c r="E184" s="78">
        <v>253301.33</v>
      </c>
      <c r="F184" s="82">
        <f t="shared" si="3"/>
        <v>1698.67</v>
      </c>
    </row>
    <row r="185" spans="1:6" s="19" customFormat="1" ht="12.75" hidden="1">
      <c r="A185" s="27" t="s">
        <v>181</v>
      </c>
      <c r="B185" s="64" t="s">
        <v>205</v>
      </c>
      <c r="C185" s="28" t="s">
        <v>94</v>
      </c>
      <c r="D185" s="82">
        <f>SUM(D186:D191)</f>
        <v>0</v>
      </c>
      <c r="E185" s="82">
        <f>SUM(E186:E191)</f>
        <v>0</v>
      </c>
      <c r="F185" s="82">
        <f t="shared" si="3"/>
        <v>0</v>
      </c>
    </row>
    <row r="186" spans="1:6" s="19" customFormat="1" ht="12.75" hidden="1">
      <c r="A186" s="25" t="s">
        <v>182</v>
      </c>
      <c r="B186" s="65" t="s">
        <v>205</v>
      </c>
      <c r="C186" s="26" t="s">
        <v>95</v>
      </c>
      <c r="D186" s="78"/>
      <c r="E186" s="78"/>
      <c r="F186" s="82">
        <f t="shared" si="3"/>
        <v>0</v>
      </c>
    </row>
    <row r="187" spans="1:6" s="19" customFormat="1" ht="12.75" hidden="1">
      <c r="A187" s="25" t="s">
        <v>173</v>
      </c>
      <c r="B187" s="65" t="s">
        <v>205</v>
      </c>
      <c r="C187" s="26" t="s">
        <v>96</v>
      </c>
      <c r="D187" s="78"/>
      <c r="E187" s="78"/>
      <c r="F187" s="82">
        <f t="shared" si="3"/>
        <v>0</v>
      </c>
    </row>
    <row r="188" spans="1:6" s="19" customFormat="1" ht="12.75" hidden="1">
      <c r="A188" s="25" t="s">
        <v>183</v>
      </c>
      <c r="B188" s="65" t="s">
        <v>205</v>
      </c>
      <c r="C188" s="26" t="s">
        <v>97</v>
      </c>
      <c r="D188" s="78"/>
      <c r="E188" s="78"/>
      <c r="F188" s="82">
        <f t="shared" si="3"/>
        <v>0</v>
      </c>
    </row>
    <row r="189" spans="1:6" s="19" customFormat="1" ht="22.5" hidden="1">
      <c r="A189" s="25" t="s">
        <v>184</v>
      </c>
      <c r="B189" s="65" t="s">
        <v>205</v>
      </c>
      <c r="C189" s="26" t="s">
        <v>98</v>
      </c>
      <c r="D189" s="78"/>
      <c r="E189" s="78"/>
      <c r="F189" s="82">
        <f t="shared" si="3"/>
        <v>0</v>
      </c>
    </row>
    <row r="190" spans="1:6" s="19" customFormat="1" ht="12.75" hidden="1">
      <c r="A190" s="25" t="s">
        <v>185</v>
      </c>
      <c r="B190" s="65" t="s">
        <v>205</v>
      </c>
      <c r="C190" s="26" t="s">
        <v>99</v>
      </c>
      <c r="D190" s="78"/>
      <c r="E190" s="78"/>
      <c r="F190" s="82">
        <f t="shared" si="3"/>
        <v>0</v>
      </c>
    </row>
    <row r="191" spans="1:6" s="19" customFormat="1" ht="12.75" hidden="1">
      <c r="A191" s="25" t="s">
        <v>186</v>
      </c>
      <c r="B191" s="65" t="s">
        <v>205</v>
      </c>
      <c r="C191" s="26" t="s">
        <v>100</v>
      </c>
      <c r="D191" s="78"/>
      <c r="E191" s="78"/>
      <c r="F191" s="82">
        <f t="shared" si="3"/>
        <v>0</v>
      </c>
    </row>
    <row r="192" spans="1:6" s="19" customFormat="1" ht="12.75" hidden="1">
      <c r="A192" s="27" t="s">
        <v>187</v>
      </c>
      <c r="B192" s="64" t="s">
        <v>205</v>
      </c>
      <c r="C192" s="28" t="s">
        <v>101</v>
      </c>
      <c r="D192" s="82">
        <f>SUM(D193:D193)</f>
        <v>0</v>
      </c>
      <c r="E192" s="82">
        <f>SUM(E193:E193)</f>
        <v>0</v>
      </c>
      <c r="F192" s="82">
        <f t="shared" si="3"/>
        <v>0</v>
      </c>
    </row>
    <row r="193" spans="1:6" s="19" customFormat="1" ht="22.5" hidden="1">
      <c r="A193" s="25" t="s">
        <v>188</v>
      </c>
      <c r="B193" s="65" t="s">
        <v>205</v>
      </c>
      <c r="C193" s="26" t="s">
        <v>102</v>
      </c>
      <c r="D193" s="78"/>
      <c r="E193" s="78"/>
      <c r="F193" s="82">
        <f t="shared" si="3"/>
        <v>0</v>
      </c>
    </row>
    <row r="194" spans="1:6" s="19" customFormat="1" ht="12.75" hidden="1">
      <c r="A194" s="25" t="s">
        <v>171</v>
      </c>
      <c r="B194" s="65" t="s">
        <v>205</v>
      </c>
      <c r="C194" s="26" t="s">
        <v>103</v>
      </c>
      <c r="D194" s="78"/>
      <c r="E194" s="78"/>
      <c r="F194" s="82">
        <f t="shared" si="3"/>
        <v>0</v>
      </c>
    </row>
    <row r="195" spans="1:6" s="19" customFormat="1" ht="12.75" hidden="1">
      <c r="A195" s="27" t="s">
        <v>189</v>
      </c>
      <c r="B195" s="64" t="s">
        <v>205</v>
      </c>
      <c r="C195" s="28" t="s">
        <v>105</v>
      </c>
      <c r="D195" s="82">
        <f>SUM(D196:D197)</f>
        <v>0</v>
      </c>
      <c r="E195" s="82">
        <f>SUM(E196:E197)</f>
        <v>0</v>
      </c>
      <c r="F195" s="82">
        <f t="shared" si="3"/>
        <v>0</v>
      </c>
    </row>
    <row r="196" spans="1:6" s="19" customFormat="1" ht="22.5" hidden="1">
      <c r="A196" s="25" t="s">
        <v>190</v>
      </c>
      <c r="B196" s="65" t="s">
        <v>205</v>
      </c>
      <c r="C196" s="26" t="s">
        <v>104</v>
      </c>
      <c r="D196" s="78"/>
      <c r="E196" s="78"/>
      <c r="F196" s="82">
        <f t="shared" si="3"/>
        <v>0</v>
      </c>
    </row>
    <row r="197" spans="1:6" s="19" customFormat="1" ht="22.5" hidden="1">
      <c r="A197" s="25" t="s">
        <v>191</v>
      </c>
      <c r="B197" s="65" t="s">
        <v>205</v>
      </c>
      <c r="C197" s="26" t="s">
        <v>106</v>
      </c>
      <c r="D197" s="78"/>
      <c r="E197" s="78"/>
      <c r="F197" s="82">
        <f t="shared" si="3"/>
        <v>0</v>
      </c>
    </row>
    <row r="198" spans="1:6" s="19" customFormat="1" ht="25.5" hidden="1">
      <c r="A198" s="31" t="s">
        <v>170</v>
      </c>
      <c r="B198" s="66" t="s">
        <v>205</v>
      </c>
      <c r="C198" s="22" t="s">
        <v>128</v>
      </c>
      <c r="D198" s="86">
        <f>D199+D214</f>
        <v>0</v>
      </c>
      <c r="E198" s="86">
        <f>E199+E214</f>
        <v>0</v>
      </c>
      <c r="F198" s="82">
        <f t="shared" si="3"/>
        <v>0</v>
      </c>
    </row>
    <row r="199" spans="1:6" s="19" customFormat="1" ht="12.75" hidden="1">
      <c r="A199" s="27" t="s">
        <v>178</v>
      </c>
      <c r="B199" s="64" t="s">
        <v>205</v>
      </c>
      <c r="C199" s="28" t="s">
        <v>129</v>
      </c>
      <c r="D199" s="82">
        <f>D200+D204+D211+D213</f>
        <v>0</v>
      </c>
      <c r="E199" s="82">
        <f>E200+E204+E211+E213</f>
        <v>0</v>
      </c>
      <c r="F199" s="82">
        <f t="shared" si="3"/>
        <v>0</v>
      </c>
    </row>
    <row r="200" spans="1:6" s="19" customFormat="1" ht="22.5" hidden="1">
      <c r="A200" s="27" t="s">
        <v>179</v>
      </c>
      <c r="B200" s="64" t="s">
        <v>205</v>
      </c>
      <c r="C200" s="28" t="s">
        <v>130</v>
      </c>
      <c r="D200" s="82">
        <f>SUM(D201:D203)</f>
        <v>0</v>
      </c>
      <c r="E200" s="82">
        <f>SUM(E201:E203)</f>
        <v>0</v>
      </c>
      <c r="F200" s="82">
        <f t="shared" si="3"/>
        <v>0</v>
      </c>
    </row>
    <row r="201" spans="1:6" s="19" customFormat="1" ht="12.75" hidden="1">
      <c r="A201" s="25" t="s">
        <v>80</v>
      </c>
      <c r="B201" s="65" t="s">
        <v>205</v>
      </c>
      <c r="C201" s="26" t="s">
        <v>131</v>
      </c>
      <c r="D201" s="78"/>
      <c r="E201" s="78"/>
      <c r="F201" s="82">
        <f t="shared" si="3"/>
        <v>0</v>
      </c>
    </row>
    <row r="202" spans="1:6" s="19" customFormat="1" ht="12.75" hidden="1">
      <c r="A202" s="25" t="s">
        <v>180</v>
      </c>
      <c r="B202" s="65" t="s">
        <v>205</v>
      </c>
      <c r="C202" s="26" t="s">
        <v>132</v>
      </c>
      <c r="D202" s="78"/>
      <c r="E202" s="78"/>
      <c r="F202" s="82">
        <f t="shared" si="3"/>
        <v>0</v>
      </c>
    </row>
    <row r="203" spans="1:6" s="19" customFormat="1" ht="11.25" customHeight="1" hidden="1">
      <c r="A203" s="25" t="s">
        <v>172</v>
      </c>
      <c r="B203" s="65" t="s">
        <v>205</v>
      </c>
      <c r="C203" s="26" t="s">
        <v>133</v>
      </c>
      <c r="D203" s="78"/>
      <c r="E203" s="78"/>
      <c r="F203" s="82">
        <f t="shared" si="3"/>
        <v>0</v>
      </c>
    </row>
    <row r="204" spans="1:6" s="19" customFormat="1" ht="12.75" hidden="1">
      <c r="A204" s="27" t="s">
        <v>181</v>
      </c>
      <c r="B204" s="64" t="s">
        <v>205</v>
      </c>
      <c r="C204" s="28" t="s">
        <v>134</v>
      </c>
      <c r="D204" s="82">
        <f>SUM(D205:D210)</f>
        <v>0</v>
      </c>
      <c r="E204" s="82">
        <f>SUM(E205:E210)</f>
        <v>0</v>
      </c>
      <c r="F204" s="82">
        <f t="shared" si="3"/>
        <v>0</v>
      </c>
    </row>
    <row r="205" spans="1:6" s="19" customFormat="1" ht="12.75" hidden="1">
      <c r="A205" s="25" t="s">
        <v>182</v>
      </c>
      <c r="B205" s="65" t="s">
        <v>205</v>
      </c>
      <c r="C205" s="26" t="s">
        <v>135</v>
      </c>
      <c r="D205" s="78"/>
      <c r="E205" s="78"/>
      <c r="F205" s="82">
        <f t="shared" si="3"/>
        <v>0</v>
      </c>
    </row>
    <row r="206" spans="1:6" s="19" customFormat="1" ht="12.75" hidden="1">
      <c r="A206" s="25" t="s">
        <v>173</v>
      </c>
      <c r="B206" s="65" t="s">
        <v>205</v>
      </c>
      <c r="C206" s="26" t="s">
        <v>136</v>
      </c>
      <c r="D206" s="78"/>
      <c r="E206" s="78"/>
      <c r="F206" s="82">
        <f aca="true" t="shared" si="6" ref="F206:F233">D206-E206</f>
        <v>0</v>
      </c>
    </row>
    <row r="207" spans="1:6" s="19" customFormat="1" ht="12.75" hidden="1">
      <c r="A207" s="25" t="s">
        <v>183</v>
      </c>
      <c r="B207" s="65" t="s">
        <v>205</v>
      </c>
      <c r="C207" s="26" t="s">
        <v>137</v>
      </c>
      <c r="D207" s="78"/>
      <c r="E207" s="78"/>
      <c r="F207" s="82">
        <f t="shared" si="6"/>
        <v>0</v>
      </c>
    </row>
    <row r="208" spans="1:6" s="19" customFormat="1" ht="22.5" hidden="1">
      <c r="A208" s="25" t="s">
        <v>184</v>
      </c>
      <c r="B208" s="65" t="s">
        <v>205</v>
      </c>
      <c r="C208" s="26" t="s">
        <v>138</v>
      </c>
      <c r="D208" s="78"/>
      <c r="E208" s="78"/>
      <c r="F208" s="82">
        <f t="shared" si="6"/>
        <v>0</v>
      </c>
    </row>
    <row r="209" spans="1:6" s="19" customFormat="1" ht="12.75" hidden="1">
      <c r="A209" s="25" t="s">
        <v>185</v>
      </c>
      <c r="B209" s="65" t="s">
        <v>205</v>
      </c>
      <c r="C209" s="26" t="s">
        <v>139</v>
      </c>
      <c r="D209" s="78"/>
      <c r="E209" s="78"/>
      <c r="F209" s="82">
        <f t="shared" si="6"/>
        <v>0</v>
      </c>
    </row>
    <row r="210" spans="1:6" s="19" customFormat="1" ht="12.75" hidden="1">
      <c r="A210" s="25" t="s">
        <v>186</v>
      </c>
      <c r="B210" s="65" t="s">
        <v>205</v>
      </c>
      <c r="C210" s="26" t="s">
        <v>140</v>
      </c>
      <c r="D210" s="78"/>
      <c r="E210" s="78"/>
      <c r="F210" s="82">
        <f t="shared" si="6"/>
        <v>0</v>
      </c>
    </row>
    <row r="211" spans="1:6" s="19" customFormat="1" ht="12.75" hidden="1">
      <c r="A211" s="27" t="s">
        <v>187</v>
      </c>
      <c r="B211" s="64" t="s">
        <v>205</v>
      </c>
      <c r="C211" s="28" t="s">
        <v>141</v>
      </c>
      <c r="D211" s="82">
        <f>SUM(D212:D212)</f>
        <v>0</v>
      </c>
      <c r="E211" s="82">
        <f>SUM(E212:E212)</f>
        <v>0</v>
      </c>
      <c r="F211" s="82">
        <f t="shared" si="6"/>
        <v>0</v>
      </c>
    </row>
    <row r="212" spans="1:6" s="19" customFormat="1" ht="22.5" hidden="1">
      <c r="A212" s="25" t="s">
        <v>188</v>
      </c>
      <c r="B212" s="65" t="s">
        <v>205</v>
      </c>
      <c r="C212" s="26" t="s">
        <v>142</v>
      </c>
      <c r="D212" s="78"/>
      <c r="E212" s="78"/>
      <c r="F212" s="82">
        <f t="shared" si="6"/>
        <v>0</v>
      </c>
    </row>
    <row r="213" spans="1:6" s="19" customFormat="1" ht="12.75" hidden="1">
      <c r="A213" s="25" t="s">
        <v>171</v>
      </c>
      <c r="B213" s="65" t="s">
        <v>205</v>
      </c>
      <c r="C213" s="26" t="s">
        <v>143</v>
      </c>
      <c r="D213" s="78"/>
      <c r="E213" s="78"/>
      <c r="F213" s="82">
        <f t="shared" si="6"/>
        <v>0</v>
      </c>
    </row>
    <row r="214" spans="1:6" s="19" customFormat="1" ht="12.75" hidden="1">
      <c r="A214" s="27" t="s">
        <v>189</v>
      </c>
      <c r="B214" s="64" t="s">
        <v>205</v>
      </c>
      <c r="C214" s="28" t="s">
        <v>144</v>
      </c>
      <c r="D214" s="82">
        <f>SUM(D215:D216)</f>
        <v>0</v>
      </c>
      <c r="E214" s="82">
        <f>SUM(E215:E216)</f>
        <v>0</v>
      </c>
      <c r="F214" s="82">
        <f t="shared" si="6"/>
        <v>0</v>
      </c>
    </row>
    <row r="215" spans="1:6" s="19" customFormat="1" ht="22.5" hidden="1">
      <c r="A215" s="25" t="s">
        <v>190</v>
      </c>
      <c r="B215" s="65" t="s">
        <v>205</v>
      </c>
      <c r="C215" s="26" t="s">
        <v>145</v>
      </c>
      <c r="D215" s="78"/>
      <c r="E215" s="78"/>
      <c r="F215" s="82">
        <f t="shared" si="6"/>
        <v>0</v>
      </c>
    </row>
    <row r="216" spans="1:6" s="19" customFormat="1" ht="22.5" hidden="1">
      <c r="A216" s="25" t="s">
        <v>191</v>
      </c>
      <c r="B216" s="65" t="s">
        <v>205</v>
      </c>
      <c r="C216" s="26" t="s">
        <v>146</v>
      </c>
      <c r="D216" s="78"/>
      <c r="E216" s="78"/>
      <c r="F216" s="82">
        <f t="shared" si="6"/>
        <v>0</v>
      </c>
    </row>
    <row r="217" spans="1:6" s="19" customFormat="1" ht="28.5" customHeight="1">
      <c r="A217" s="184" t="s">
        <v>170</v>
      </c>
      <c r="B217" s="66" t="s">
        <v>205</v>
      </c>
      <c r="C217" s="70" t="s">
        <v>544</v>
      </c>
      <c r="D217" s="86">
        <f>D219+D231</f>
        <v>17065731.71</v>
      </c>
      <c r="E217" s="86">
        <f>E219+E231</f>
        <v>17057603.66</v>
      </c>
      <c r="F217" s="82">
        <f>D217-E217</f>
        <v>8128.05</v>
      </c>
    </row>
    <row r="218" spans="1:6" s="19" customFormat="1" ht="25.5">
      <c r="A218" s="31" t="s">
        <v>170</v>
      </c>
      <c r="B218" s="66" t="s">
        <v>205</v>
      </c>
      <c r="C218" s="70" t="s">
        <v>543</v>
      </c>
      <c r="D218" s="86">
        <f>D219+D249</f>
        <v>17063531.71</v>
      </c>
      <c r="E218" s="86">
        <f>E219+E249</f>
        <v>17055403.66</v>
      </c>
      <c r="F218" s="82">
        <f t="shared" si="6"/>
        <v>8128.05</v>
      </c>
    </row>
    <row r="219" spans="1:6" s="19" customFormat="1" ht="12.75">
      <c r="A219" s="27" t="s">
        <v>178</v>
      </c>
      <c r="B219" s="64" t="s">
        <v>205</v>
      </c>
      <c r="C219" s="28" t="s">
        <v>545</v>
      </c>
      <c r="D219" s="82">
        <f>D220+D224+D230</f>
        <v>16546538</v>
      </c>
      <c r="E219" s="82">
        <f>E220+E224+E230</f>
        <v>16539980.07</v>
      </c>
      <c r="F219" s="82">
        <f t="shared" si="6"/>
        <v>6557.93</v>
      </c>
    </row>
    <row r="220" spans="1:6" s="19" customFormat="1" ht="22.5">
      <c r="A220" s="27" t="s">
        <v>179</v>
      </c>
      <c r="B220" s="64" t="s">
        <v>205</v>
      </c>
      <c r="C220" s="28" t="s">
        <v>546</v>
      </c>
      <c r="D220" s="82">
        <f>D221+D222+D223</f>
        <v>15939000</v>
      </c>
      <c r="E220" s="82">
        <f>E221+E222+E223</f>
        <v>15937246.79</v>
      </c>
      <c r="F220" s="82">
        <f t="shared" si="6"/>
        <v>1753.21</v>
      </c>
    </row>
    <row r="221" spans="1:6" s="19" customFormat="1" ht="12.75">
      <c r="A221" s="27" t="s">
        <v>80</v>
      </c>
      <c r="B221" s="64" t="s">
        <v>205</v>
      </c>
      <c r="C221" s="28" t="s">
        <v>547</v>
      </c>
      <c r="D221" s="82">
        <f>D236</f>
        <v>12238000</v>
      </c>
      <c r="E221" s="82">
        <f>E236</f>
        <v>12237257.86</v>
      </c>
      <c r="F221" s="82">
        <f t="shared" si="6"/>
        <v>742.14</v>
      </c>
    </row>
    <row r="222" spans="1:6" s="19" customFormat="1" ht="12.75">
      <c r="A222" s="27" t="s">
        <v>180</v>
      </c>
      <c r="B222" s="64" t="s">
        <v>205</v>
      </c>
      <c r="C222" s="28" t="s">
        <v>548</v>
      </c>
      <c r="D222" s="82">
        <f>D239</f>
        <v>38000</v>
      </c>
      <c r="E222" s="82">
        <f>E239</f>
        <v>37238.55</v>
      </c>
      <c r="F222" s="82">
        <f t="shared" si="6"/>
        <v>761.45</v>
      </c>
    </row>
    <row r="223" spans="1:6" s="19" customFormat="1" ht="12.75">
      <c r="A223" s="27" t="s">
        <v>172</v>
      </c>
      <c r="B223" s="64" t="s">
        <v>205</v>
      </c>
      <c r="C223" s="28" t="s">
        <v>549</v>
      </c>
      <c r="D223" s="82">
        <f>D237</f>
        <v>3663000</v>
      </c>
      <c r="E223" s="82">
        <f>E237</f>
        <v>3662750.38</v>
      </c>
      <c r="F223" s="82">
        <f t="shared" si="6"/>
        <v>249.62</v>
      </c>
    </row>
    <row r="224" spans="1:6" s="19" customFormat="1" ht="12.75">
      <c r="A224" s="27" t="s">
        <v>181</v>
      </c>
      <c r="B224" s="64" t="s">
        <v>205</v>
      </c>
      <c r="C224" s="28" t="s">
        <v>550</v>
      </c>
      <c r="D224" s="82">
        <f>D225+D226+D227+D228+D229</f>
        <v>560000</v>
      </c>
      <c r="E224" s="82">
        <f>E225+E226+E227+E228+E229</f>
        <v>556800.97</v>
      </c>
      <c r="F224" s="82">
        <f t="shared" si="6"/>
        <v>3199.03</v>
      </c>
    </row>
    <row r="225" spans="1:6" s="19" customFormat="1" ht="12.75">
      <c r="A225" s="27" t="s">
        <v>182</v>
      </c>
      <c r="B225" s="64" t="s">
        <v>205</v>
      </c>
      <c r="C225" s="28" t="s">
        <v>551</v>
      </c>
      <c r="D225" s="82">
        <f>D243</f>
        <v>36000</v>
      </c>
      <c r="E225" s="82">
        <f>E243+E244</f>
        <v>36000</v>
      </c>
      <c r="F225" s="82">
        <f t="shared" si="6"/>
        <v>0</v>
      </c>
    </row>
    <row r="226" spans="1:6" s="19" customFormat="1" ht="12.75">
      <c r="A226" s="27" t="s">
        <v>173</v>
      </c>
      <c r="B226" s="64" t="s">
        <v>205</v>
      </c>
      <c r="C226" s="28" t="s">
        <v>552</v>
      </c>
      <c r="D226" s="82">
        <f>D240</f>
        <v>3000</v>
      </c>
      <c r="E226" s="82">
        <f>E240</f>
        <v>2716.2</v>
      </c>
      <c r="F226" s="82">
        <f t="shared" si="6"/>
        <v>283.8</v>
      </c>
    </row>
    <row r="227" spans="1:6" s="19" customFormat="1" ht="12.75">
      <c r="A227" s="27" t="s">
        <v>183</v>
      </c>
      <c r="B227" s="64" t="s">
        <v>205</v>
      </c>
      <c r="C227" s="28" t="s">
        <v>553</v>
      </c>
      <c r="D227" s="82">
        <f>D245</f>
        <v>275000</v>
      </c>
      <c r="E227" s="82">
        <f>E245</f>
        <v>274015.73</v>
      </c>
      <c r="F227" s="82">
        <f t="shared" si="6"/>
        <v>984.27</v>
      </c>
    </row>
    <row r="228" spans="1:6" s="19" customFormat="1" ht="12.75">
      <c r="A228" s="27" t="s">
        <v>185</v>
      </c>
      <c r="B228" s="64" t="s">
        <v>205</v>
      </c>
      <c r="C228" s="28" t="s">
        <v>554</v>
      </c>
      <c r="D228" s="82">
        <f>D246</f>
        <v>111000</v>
      </c>
      <c r="E228" s="82">
        <f>E246</f>
        <v>110317.56</v>
      </c>
      <c r="F228" s="82">
        <f t="shared" si="6"/>
        <v>682.44</v>
      </c>
    </row>
    <row r="229" spans="1:6" s="19" customFormat="1" ht="12.75">
      <c r="A229" s="27" t="s">
        <v>186</v>
      </c>
      <c r="B229" s="64" t="s">
        <v>205</v>
      </c>
      <c r="C229" s="28" t="s">
        <v>555</v>
      </c>
      <c r="D229" s="82">
        <f>D241+D247</f>
        <v>135000</v>
      </c>
      <c r="E229" s="82">
        <f>E241+E247</f>
        <v>133751.48</v>
      </c>
      <c r="F229" s="82">
        <f t="shared" si="6"/>
        <v>1248.52</v>
      </c>
    </row>
    <row r="230" spans="1:6" s="19" customFormat="1" ht="12.75">
      <c r="A230" s="27" t="s">
        <v>171</v>
      </c>
      <c r="B230" s="64" t="s">
        <v>205</v>
      </c>
      <c r="C230" s="28" t="s">
        <v>556</v>
      </c>
      <c r="D230" s="82">
        <f>D254+D255+D248+D253+D256</f>
        <v>47538</v>
      </c>
      <c r="E230" s="82">
        <f>E254+E255+E248+E253+E256</f>
        <v>45932.31</v>
      </c>
      <c r="F230" s="82">
        <f t="shared" si="6"/>
        <v>1605.69</v>
      </c>
    </row>
    <row r="231" spans="1:6" s="19" customFormat="1" ht="12.75">
      <c r="A231" s="27" t="s">
        <v>189</v>
      </c>
      <c r="B231" s="64" t="s">
        <v>205</v>
      </c>
      <c r="C231" s="28" t="s">
        <v>557</v>
      </c>
      <c r="D231" s="82">
        <f>D232+D233</f>
        <v>519193.71</v>
      </c>
      <c r="E231" s="82">
        <f>E232+E233</f>
        <v>517623.59</v>
      </c>
      <c r="F231" s="82">
        <f t="shared" si="6"/>
        <v>1570.12</v>
      </c>
    </row>
    <row r="232" spans="1:6" s="19" customFormat="1" ht="22.5">
      <c r="A232" s="27" t="s">
        <v>190</v>
      </c>
      <c r="B232" s="64" t="s">
        <v>205</v>
      </c>
      <c r="C232" s="28" t="s">
        <v>558</v>
      </c>
      <c r="D232" s="82">
        <f>D250</f>
        <v>8400</v>
      </c>
      <c r="E232" s="82">
        <f>E250</f>
        <v>8306</v>
      </c>
      <c r="F232" s="82">
        <f t="shared" si="6"/>
        <v>94</v>
      </c>
    </row>
    <row r="233" spans="1:6" s="19" customFormat="1" ht="22.5">
      <c r="A233" s="27" t="s">
        <v>191</v>
      </c>
      <c r="B233" s="64" t="s">
        <v>205</v>
      </c>
      <c r="C233" s="28" t="s">
        <v>559</v>
      </c>
      <c r="D233" s="82">
        <f>D251+D258</f>
        <v>510793.71</v>
      </c>
      <c r="E233" s="82">
        <f>E251+E258</f>
        <v>509317.59</v>
      </c>
      <c r="F233" s="82">
        <f t="shared" si="6"/>
        <v>1476.12</v>
      </c>
    </row>
    <row r="234" spans="1:6" s="19" customFormat="1" ht="22.5">
      <c r="A234" s="27" t="s">
        <v>179</v>
      </c>
      <c r="B234" s="64" t="s">
        <v>205</v>
      </c>
      <c r="C234" s="28" t="s">
        <v>560</v>
      </c>
      <c r="D234" s="82">
        <f>SUM(D236:D237)</f>
        <v>15901000</v>
      </c>
      <c r="E234" s="82">
        <f>SUM(E236:E237)</f>
        <v>15900008.24</v>
      </c>
      <c r="F234" s="82">
        <f aca="true" t="shared" si="7" ref="F234:F269">D234-E234</f>
        <v>991.76</v>
      </c>
    </row>
    <row r="235" spans="1:6" s="19" customFormat="1" ht="22.5">
      <c r="A235" s="27" t="s">
        <v>179</v>
      </c>
      <c r="B235" s="64" t="s">
        <v>205</v>
      </c>
      <c r="C235" s="28" t="s">
        <v>561</v>
      </c>
      <c r="D235" s="82">
        <f>D236+D237</f>
        <v>15901000</v>
      </c>
      <c r="E235" s="82">
        <f>E236+E237</f>
        <v>15900008.24</v>
      </c>
      <c r="F235" s="82">
        <f t="shared" si="7"/>
        <v>991.76</v>
      </c>
    </row>
    <row r="236" spans="1:6" s="19" customFormat="1" ht="12.75">
      <c r="A236" s="25" t="s">
        <v>80</v>
      </c>
      <c r="B236" s="65" t="s">
        <v>205</v>
      </c>
      <c r="C236" s="26" t="s">
        <v>475</v>
      </c>
      <c r="D236" s="78">
        <v>12238000</v>
      </c>
      <c r="E236" s="78">
        <v>12237257.86</v>
      </c>
      <c r="F236" s="82">
        <f t="shared" si="7"/>
        <v>742.14</v>
      </c>
    </row>
    <row r="237" spans="1:6" s="19" customFormat="1" ht="12.75">
      <c r="A237" s="25" t="s">
        <v>172</v>
      </c>
      <c r="B237" s="65" t="s">
        <v>205</v>
      </c>
      <c r="C237" s="26" t="s">
        <v>477</v>
      </c>
      <c r="D237" s="78">
        <v>3663000</v>
      </c>
      <c r="E237" s="78">
        <v>3662750.38</v>
      </c>
      <c r="F237" s="82">
        <f t="shared" si="7"/>
        <v>249.62</v>
      </c>
    </row>
    <row r="238" spans="1:6" s="19" customFormat="1" ht="12.75">
      <c r="A238" s="27" t="s">
        <v>476</v>
      </c>
      <c r="B238" s="114">
        <v>200</v>
      </c>
      <c r="C238" s="115" t="s">
        <v>478</v>
      </c>
      <c r="D238" s="156">
        <f>D239+D240+D241</f>
        <v>98000</v>
      </c>
      <c r="E238" s="156">
        <f>E239+E240+E241</f>
        <v>96554.75</v>
      </c>
      <c r="F238" s="82">
        <f t="shared" si="7"/>
        <v>1445.25</v>
      </c>
    </row>
    <row r="239" spans="1:6" s="19" customFormat="1" ht="12.75">
      <c r="A239" s="25" t="s">
        <v>180</v>
      </c>
      <c r="B239" s="65" t="s">
        <v>205</v>
      </c>
      <c r="C239" s="26" t="s">
        <v>479</v>
      </c>
      <c r="D239" s="78">
        <v>38000</v>
      </c>
      <c r="E239" s="78">
        <v>37238.55</v>
      </c>
      <c r="F239" s="82">
        <f t="shared" si="7"/>
        <v>761.45</v>
      </c>
    </row>
    <row r="240" spans="1:6" s="19" customFormat="1" ht="12.75">
      <c r="A240" s="25" t="s">
        <v>173</v>
      </c>
      <c r="B240" s="65" t="s">
        <v>205</v>
      </c>
      <c r="C240" s="26" t="s">
        <v>480</v>
      </c>
      <c r="D240" s="78">
        <v>3000</v>
      </c>
      <c r="E240" s="78">
        <v>2716.2</v>
      </c>
      <c r="F240" s="82">
        <f t="shared" si="7"/>
        <v>283.8</v>
      </c>
    </row>
    <row r="241" spans="1:6" s="19" customFormat="1" ht="12.75">
      <c r="A241" s="25" t="s">
        <v>186</v>
      </c>
      <c r="B241" s="65"/>
      <c r="C241" s="26" t="s">
        <v>481</v>
      </c>
      <c r="D241" s="78">
        <v>57000</v>
      </c>
      <c r="E241" s="78">
        <v>56600</v>
      </c>
      <c r="F241" s="82">
        <f t="shared" si="7"/>
        <v>400</v>
      </c>
    </row>
    <row r="242" spans="1:8" s="19" customFormat="1" ht="12.75">
      <c r="A242" s="27" t="s">
        <v>181</v>
      </c>
      <c r="B242" s="64" t="s">
        <v>205</v>
      </c>
      <c r="C242" s="28" t="s">
        <v>482</v>
      </c>
      <c r="D242" s="82">
        <f>SUM(D243:D247)</f>
        <v>500000</v>
      </c>
      <c r="E242" s="82">
        <f>SUM(E243:E247)</f>
        <v>497484.77</v>
      </c>
      <c r="F242" s="82">
        <f>D242-E242</f>
        <v>2515.23</v>
      </c>
      <c r="H242" s="148"/>
    </row>
    <row r="243" spans="1:6" s="19" customFormat="1" ht="12.75">
      <c r="A243" s="25" t="s">
        <v>182</v>
      </c>
      <c r="B243" s="65" t="s">
        <v>205</v>
      </c>
      <c r="C243" s="26" t="s">
        <v>483</v>
      </c>
      <c r="D243" s="78">
        <v>36000</v>
      </c>
      <c r="E243" s="78">
        <v>36000</v>
      </c>
      <c r="F243" s="82">
        <f t="shared" si="7"/>
        <v>0</v>
      </c>
    </row>
    <row r="244" spans="1:6" s="19" customFormat="1" ht="12.75" hidden="1">
      <c r="A244" s="25" t="s">
        <v>182</v>
      </c>
      <c r="B244" s="65" t="s">
        <v>205</v>
      </c>
      <c r="C244" s="26" t="s">
        <v>462</v>
      </c>
      <c r="D244" s="78">
        <v>0</v>
      </c>
      <c r="E244" s="78">
        <f>579.66-579.66</f>
        <v>0</v>
      </c>
      <c r="F244" s="82">
        <f t="shared" si="7"/>
        <v>0</v>
      </c>
    </row>
    <row r="245" spans="1:6" s="19" customFormat="1" ht="12.75">
      <c r="A245" s="25" t="s">
        <v>183</v>
      </c>
      <c r="B245" s="65" t="s">
        <v>205</v>
      </c>
      <c r="C245" s="26" t="s">
        <v>485</v>
      </c>
      <c r="D245" s="78">
        <v>275000</v>
      </c>
      <c r="E245" s="78">
        <v>274015.73</v>
      </c>
      <c r="F245" s="82">
        <f t="shared" si="7"/>
        <v>984.27</v>
      </c>
    </row>
    <row r="246" spans="1:6" s="19" customFormat="1" ht="11.25" customHeight="1">
      <c r="A246" s="25" t="s">
        <v>185</v>
      </c>
      <c r="B246" s="65" t="s">
        <v>205</v>
      </c>
      <c r="C246" s="26" t="s">
        <v>486</v>
      </c>
      <c r="D246" s="78">
        <v>111000</v>
      </c>
      <c r="E246" s="78">
        <v>110317.56</v>
      </c>
      <c r="F246" s="82">
        <f t="shared" si="7"/>
        <v>682.44</v>
      </c>
    </row>
    <row r="247" spans="1:6" s="19" customFormat="1" ht="12.75">
      <c r="A247" s="25" t="s">
        <v>186</v>
      </c>
      <c r="B247" s="65" t="s">
        <v>205</v>
      </c>
      <c r="C247" s="26" t="s">
        <v>484</v>
      </c>
      <c r="D247" s="78">
        <v>78000</v>
      </c>
      <c r="E247" s="78">
        <v>77151.48</v>
      </c>
      <c r="F247" s="82">
        <f t="shared" si="7"/>
        <v>848.52</v>
      </c>
    </row>
    <row r="248" spans="1:6" s="19" customFormat="1" ht="12.75">
      <c r="A248" s="25" t="s">
        <v>171</v>
      </c>
      <c r="B248" s="65" t="s">
        <v>205</v>
      </c>
      <c r="C248" s="26" t="s">
        <v>487</v>
      </c>
      <c r="D248" s="78">
        <v>0</v>
      </c>
      <c r="E248" s="78"/>
      <c r="F248" s="82">
        <f t="shared" si="7"/>
        <v>0</v>
      </c>
    </row>
    <row r="249" spans="1:6" s="19" customFormat="1" ht="12.75">
      <c r="A249" s="27" t="s">
        <v>189</v>
      </c>
      <c r="B249" s="64" t="s">
        <v>205</v>
      </c>
      <c r="C249" s="28" t="s">
        <v>488</v>
      </c>
      <c r="D249" s="82">
        <f>SUM(D250:D251)</f>
        <v>516993.71</v>
      </c>
      <c r="E249" s="82">
        <f>SUM(E250:E251)</f>
        <v>515423.59</v>
      </c>
      <c r="F249" s="82">
        <f t="shared" si="7"/>
        <v>1570.12</v>
      </c>
    </row>
    <row r="250" spans="1:6" ht="21" customHeight="1">
      <c r="A250" s="25" t="s">
        <v>190</v>
      </c>
      <c r="B250" s="65" t="s">
        <v>205</v>
      </c>
      <c r="C250" s="26" t="s">
        <v>489</v>
      </c>
      <c r="D250" s="78">
        <v>8400</v>
      </c>
      <c r="E250" s="78">
        <v>8306</v>
      </c>
      <c r="F250" s="82">
        <f t="shared" si="7"/>
        <v>94</v>
      </c>
    </row>
    <row r="251" spans="1:6" ht="18.75" customHeight="1">
      <c r="A251" s="25" t="s">
        <v>191</v>
      </c>
      <c r="B251" s="65" t="s">
        <v>205</v>
      </c>
      <c r="C251" s="26" t="s">
        <v>490</v>
      </c>
      <c r="D251" s="78">
        <v>508593.71</v>
      </c>
      <c r="E251" s="110">
        <v>507117.59</v>
      </c>
      <c r="F251" s="82">
        <f t="shared" si="7"/>
        <v>1476.12</v>
      </c>
    </row>
    <row r="252" spans="1:6" ht="14.25" customHeight="1">
      <c r="A252" s="27" t="s">
        <v>178</v>
      </c>
      <c r="B252" s="114">
        <v>200</v>
      </c>
      <c r="C252" s="115" t="s">
        <v>815</v>
      </c>
      <c r="D252" s="156">
        <f>SUM(D253:D256)</f>
        <v>47538</v>
      </c>
      <c r="E252" s="156">
        <f>SUM(E253:E256)</f>
        <v>45932.31</v>
      </c>
      <c r="F252" s="82">
        <f t="shared" si="7"/>
        <v>1605.69</v>
      </c>
    </row>
    <row r="253" spans="1:6" ht="14.25" customHeight="1">
      <c r="A253" s="25" t="s">
        <v>171</v>
      </c>
      <c r="B253" s="65" t="s">
        <v>205</v>
      </c>
      <c r="C253" s="26" t="s">
        <v>816</v>
      </c>
      <c r="D253" s="212">
        <v>12038</v>
      </c>
      <c r="E253" s="212">
        <v>12037.81</v>
      </c>
      <c r="F253" s="82">
        <f t="shared" si="7"/>
        <v>0.19</v>
      </c>
    </row>
    <row r="254" spans="1:6" ht="14.25" customHeight="1">
      <c r="A254" s="25" t="s">
        <v>171</v>
      </c>
      <c r="B254" s="65" t="s">
        <v>205</v>
      </c>
      <c r="C254" s="26" t="s">
        <v>491</v>
      </c>
      <c r="D254" s="78">
        <v>3000</v>
      </c>
      <c r="E254" s="78">
        <v>2311</v>
      </c>
      <c r="F254" s="82">
        <f aca="true" t="shared" si="8" ref="F254:F259">D254-E254</f>
        <v>689</v>
      </c>
    </row>
    <row r="255" spans="1:6" ht="13.5" customHeight="1">
      <c r="A255" s="25" t="s">
        <v>171</v>
      </c>
      <c r="B255" s="65" t="s">
        <v>205</v>
      </c>
      <c r="C255" s="26" t="s">
        <v>492</v>
      </c>
      <c r="D255" s="78">
        <v>7000</v>
      </c>
      <c r="E255" s="78">
        <v>6580</v>
      </c>
      <c r="F255" s="82">
        <f t="shared" si="8"/>
        <v>420</v>
      </c>
    </row>
    <row r="256" spans="1:6" ht="13.5" customHeight="1">
      <c r="A256" s="25" t="s">
        <v>171</v>
      </c>
      <c r="B256" s="65" t="s">
        <v>205</v>
      </c>
      <c r="C256" s="26" t="s">
        <v>817</v>
      </c>
      <c r="D256" s="78">
        <v>25500</v>
      </c>
      <c r="E256" s="78">
        <v>25003.5</v>
      </c>
      <c r="F256" s="82">
        <f t="shared" si="8"/>
        <v>496.5</v>
      </c>
    </row>
    <row r="257" spans="1:7" ht="21" customHeight="1">
      <c r="A257" s="176" t="s">
        <v>562</v>
      </c>
      <c r="B257" s="177" t="s">
        <v>205</v>
      </c>
      <c r="C257" s="178" t="s">
        <v>563</v>
      </c>
      <c r="D257" s="179">
        <f>D258</f>
        <v>2200</v>
      </c>
      <c r="E257" s="179">
        <f>E258</f>
        <v>2200</v>
      </c>
      <c r="F257" s="82">
        <f t="shared" si="8"/>
        <v>0</v>
      </c>
      <c r="G257" s="92">
        <f>E250+E326+E347+E494+E537+E641</f>
        <v>317031.53</v>
      </c>
    </row>
    <row r="258" spans="1:6" ht="16.5" customHeight="1">
      <c r="A258" s="25" t="s">
        <v>189</v>
      </c>
      <c r="B258" s="65" t="s">
        <v>205</v>
      </c>
      <c r="C258" s="26" t="s">
        <v>564</v>
      </c>
      <c r="D258" s="78">
        <f>D259</f>
        <v>2200</v>
      </c>
      <c r="E258" s="78">
        <f>E259</f>
        <v>2200</v>
      </c>
      <c r="F258" s="82">
        <f t="shared" si="8"/>
        <v>0</v>
      </c>
    </row>
    <row r="259" spans="1:6" ht="20.25" customHeight="1">
      <c r="A259" s="25" t="s">
        <v>191</v>
      </c>
      <c r="B259" s="65" t="s">
        <v>205</v>
      </c>
      <c r="C259" s="26" t="s">
        <v>493</v>
      </c>
      <c r="D259" s="78">
        <v>2200</v>
      </c>
      <c r="E259" s="78">
        <v>2200</v>
      </c>
      <c r="F259" s="82">
        <f t="shared" si="8"/>
        <v>0</v>
      </c>
    </row>
    <row r="260" spans="1:6" ht="21.75" customHeight="1">
      <c r="A260" s="185" t="s">
        <v>426</v>
      </c>
      <c r="B260" s="66" t="s">
        <v>205</v>
      </c>
      <c r="C260" s="70" t="s">
        <v>565</v>
      </c>
      <c r="D260" s="86">
        <f>D261</f>
        <v>24800</v>
      </c>
      <c r="E260" s="86">
        <f>E261</f>
        <v>24800</v>
      </c>
      <c r="F260" s="82">
        <f t="shared" si="7"/>
        <v>0</v>
      </c>
    </row>
    <row r="261" spans="1:6" s="19" customFormat="1" ht="21.75" customHeight="1">
      <c r="A261" s="186" t="s">
        <v>427</v>
      </c>
      <c r="B261" s="64" t="s">
        <v>205</v>
      </c>
      <c r="C261" s="64" t="s">
        <v>566</v>
      </c>
      <c r="D261" s="82">
        <f>D262</f>
        <v>24800</v>
      </c>
      <c r="E261" s="82">
        <f>E262</f>
        <v>24800</v>
      </c>
      <c r="F261" s="82">
        <f t="shared" si="7"/>
        <v>0</v>
      </c>
    </row>
    <row r="262" spans="1:6" s="19" customFormat="1" ht="22.5" customHeight="1">
      <c r="A262" s="25" t="s">
        <v>428</v>
      </c>
      <c r="B262" s="65" t="s">
        <v>205</v>
      </c>
      <c r="C262" s="65" t="s">
        <v>567</v>
      </c>
      <c r="D262" s="78">
        <v>24800</v>
      </c>
      <c r="E262" s="78">
        <v>24800</v>
      </c>
      <c r="F262" s="82">
        <f t="shared" si="7"/>
        <v>0</v>
      </c>
    </row>
    <row r="263" spans="1:6" s="19" customFormat="1" ht="15" customHeight="1" hidden="1">
      <c r="A263" s="135" t="s">
        <v>357</v>
      </c>
      <c r="B263" s="66" t="s">
        <v>205</v>
      </c>
      <c r="C263" s="70" t="s">
        <v>429</v>
      </c>
      <c r="D263" s="86">
        <f>D264</f>
        <v>200000</v>
      </c>
      <c r="E263" s="86">
        <f>E264</f>
        <v>0</v>
      </c>
      <c r="F263" s="82">
        <f t="shared" si="7"/>
        <v>200000</v>
      </c>
    </row>
    <row r="264" spans="1:6" s="19" customFormat="1" ht="12" customHeight="1" hidden="1">
      <c r="A264" s="120" t="s">
        <v>178</v>
      </c>
      <c r="B264" s="64" t="s">
        <v>205</v>
      </c>
      <c r="C264" s="28" t="s">
        <v>430</v>
      </c>
      <c r="D264" s="82">
        <f>D265</f>
        <v>200000</v>
      </c>
      <c r="E264" s="82">
        <f>E265</f>
        <v>0</v>
      </c>
      <c r="F264" s="82">
        <f t="shared" si="7"/>
        <v>200000</v>
      </c>
    </row>
    <row r="265" spans="1:6" s="19" customFormat="1" ht="14.25" customHeight="1" hidden="1">
      <c r="A265" s="121" t="s">
        <v>186</v>
      </c>
      <c r="B265" s="65" t="s">
        <v>205</v>
      </c>
      <c r="C265" s="26" t="s">
        <v>452</v>
      </c>
      <c r="D265" s="78">
        <v>200000</v>
      </c>
      <c r="E265" s="78">
        <v>0</v>
      </c>
      <c r="F265" s="82">
        <f t="shared" si="7"/>
        <v>200000</v>
      </c>
    </row>
    <row r="266" spans="1:6" s="19" customFormat="1" ht="12" customHeight="1">
      <c r="A266" s="135" t="s">
        <v>360</v>
      </c>
      <c r="B266" s="66" t="s">
        <v>205</v>
      </c>
      <c r="C266" s="70" t="s">
        <v>568</v>
      </c>
      <c r="D266" s="86">
        <f>D267</f>
        <v>0</v>
      </c>
      <c r="E266" s="86">
        <f>E267</f>
        <v>0</v>
      </c>
      <c r="F266" s="82">
        <f>D266-E266</f>
        <v>0</v>
      </c>
    </row>
    <row r="267" spans="1:6" s="19" customFormat="1" ht="12" customHeight="1">
      <c r="A267" s="120" t="s">
        <v>178</v>
      </c>
      <c r="B267" s="64" t="s">
        <v>205</v>
      </c>
      <c r="C267" s="28" t="s">
        <v>569</v>
      </c>
      <c r="D267" s="82">
        <f>D268</f>
        <v>0</v>
      </c>
      <c r="E267" s="82">
        <f>E268</f>
        <v>0</v>
      </c>
      <c r="F267" s="82">
        <f>D267-E267</f>
        <v>0</v>
      </c>
    </row>
    <row r="268" spans="1:6" s="19" customFormat="1" ht="12" customHeight="1">
      <c r="A268" s="121" t="s">
        <v>171</v>
      </c>
      <c r="B268" s="65" t="s">
        <v>205</v>
      </c>
      <c r="C268" s="26" t="s">
        <v>570</v>
      </c>
      <c r="D268" s="83">
        <v>0</v>
      </c>
      <c r="E268" s="78">
        <v>0</v>
      </c>
      <c r="F268" s="82">
        <f>D268-E268</f>
        <v>0</v>
      </c>
    </row>
    <row r="269" spans="1:6" s="19" customFormat="1" ht="24" customHeight="1">
      <c r="A269" s="32" t="s">
        <v>571</v>
      </c>
      <c r="B269" s="66" t="s">
        <v>205</v>
      </c>
      <c r="C269" s="70" t="s">
        <v>328</v>
      </c>
      <c r="D269" s="86">
        <f>D270+D282</f>
        <v>1768839</v>
      </c>
      <c r="E269" s="86">
        <f>E270+E282</f>
        <v>1594628.53</v>
      </c>
      <c r="F269" s="82">
        <f t="shared" si="7"/>
        <v>174210.47</v>
      </c>
    </row>
    <row r="270" spans="1:6" ht="12.75">
      <c r="A270" s="27" t="s">
        <v>178</v>
      </c>
      <c r="B270" s="64" t="s">
        <v>205</v>
      </c>
      <c r="C270" s="28" t="s">
        <v>329</v>
      </c>
      <c r="D270" s="82">
        <f>D273+D281+D271</f>
        <v>1615839</v>
      </c>
      <c r="E270" s="82">
        <f>E273+E281+E271</f>
        <v>1496245.8</v>
      </c>
      <c r="F270" s="82">
        <f aca="true" t="shared" si="9" ref="F270:F345">D270-E270</f>
        <v>119593.2</v>
      </c>
    </row>
    <row r="271" spans="1:6" ht="12.75">
      <c r="A271" s="27" t="s">
        <v>803</v>
      </c>
      <c r="B271" s="64" t="s">
        <v>205</v>
      </c>
      <c r="C271" s="28" t="s">
        <v>804</v>
      </c>
      <c r="D271" s="82">
        <f>D272</f>
        <v>6530</v>
      </c>
      <c r="E271" s="82">
        <f>E272</f>
        <v>6530</v>
      </c>
      <c r="F271" s="82">
        <f t="shared" si="9"/>
        <v>0</v>
      </c>
    </row>
    <row r="272" spans="1:6" ht="12.75">
      <c r="A272" s="27" t="s">
        <v>476</v>
      </c>
      <c r="B272" s="64" t="s">
        <v>205</v>
      </c>
      <c r="C272" s="28" t="s">
        <v>805</v>
      </c>
      <c r="D272" s="82">
        <f>D304</f>
        <v>6530</v>
      </c>
      <c r="E272" s="82">
        <f>E304</f>
        <v>6530</v>
      </c>
      <c r="F272" s="82">
        <f t="shared" si="9"/>
        <v>0</v>
      </c>
    </row>
    <row r="273" spans="1:6" ht="12.75">
      <c r="A273" s="27" t="s">
        <v>181</v>
      </c>
      <c r="B273" s="64" t="s">
        <v>205</v>
      </c>
      <c r="C273" s="28" t="s">
        <v>330</v>
      </c>
      <c r="D273" s="82">
        <f>SUM(D274:D278)</f>
        <v>1297540</v>
      </c>
      <c r="E273" s="82">
        <f>SUM(E274:E278)</f>
        <v>1200272.44</v>
      </c>
      <c r="F273" s="82">
        <f t="shared" si="9"/>
        <v>97267.56</v>
      </c>
    </row>
    <row r="274" spans="1:6" ht="12" customHeight="1">
      <c r="A274" s="27" t="s">
        <v>182</v>
      </c>
      <c r="B274" s="64" t="s">
        <v>205</v>
      </c>
      <c r="C274" s="28" t="s">
        <v>458</v>
      </c>
      <c r="D274" s="82">
        <f>D320</f>
        <v>277000</v>
      </c>
      <c r="E274" s="82">
        <f>E320</f>
        <v>252127.21</v>
      </c>
      <c r="F274" s="82">
        <f t="shared" si="9"/>
        <v>24872.79</v>
      </c>
    </row>
    <row r="275" spans="1:6" ht="12" customHeight="1">
      <c r="A275" s="27" t="s">
        <v>173</v>
      </c>
      <c r="B275" s="64" t="s">
        <v>205</v>
      </c>
      <c r="C275" s="28" t="s">
        <v>802</v>
      </c>
      <c r="D275" s="82">
        <f>D305</f>
        <v>2859</v>
      </c>
      <c r="E275" s="82">
        <f>E305</f>
        <v>2858.2</v>
      </c>
      <c r="F275" s="82">
        <f t="shared" si="9"/>
        <v>0.8</v>
      </c>
    </row>
    <row r="276" spans="1:6" ht="12" customHeight="1">
      <c r="A276" s="27" t="s">
        <v>183</v>
      </c>
      <c r="B276" s="64" t="s">
        <v>205</v>
      </c>
      <c r="C276" s="28" t="s">
        <v>801</v>
      </c>
      <c r="D276" s="82">
        <f>D288</f>
        <v>300000</v>
      </c>
      <c r="E276" s="82">
        <f>E288</f>
        <v>294432.59</v>
      </c>
      <c r="F276" s="82">
        <f t="shared" si="9"/>
        <v>5567.41</v>
      </c>
    </row>
    <row r="277" spans="1:6" ht="12" customHeight="1">
      <c r="A277" s="27" t="s">
        <v>185</v>
      </c>
      <c r="B277" s="64" t="s">
        <v>205</v>
      </c>
      <c r="C277" s="28" t="s">
        <v>459</v>
      </c>
      <c r="D277" s="82">
        <f>D321+D330+D324</f>
        <v>60000</v>
      </c>
      <c r="E277" s="82">
        <f>E321+E330+E324</f>
        <v>57600</v>
      </c>
      <c r="F277" s="82">
        <f t="shared" si="9"/>
        <v>2400</v>
      </c>
    </row>
    <row r="278" spans="1:6" ht="12" customHeight="1">
      <c r="A278" s="27" t="s">
        <v>186</v>
      </c>
      <c r="B278" s="64" t="s">
        <v>205</v>
      </c>
      <c r="C278" s="28" t="s">
        <v>331</v>
      </c>
      <c r="D278" s="82">
        <f>D289+D296+D306+D309+D322</f>
        <v>657681</v>
      </c>
      <c r="E278" s="82">
        <f>E289+E296+E306+E309+E322</f>
        <v>593254.44</v>
      </c>
      <c r="F278" s="82">
        <f t="shared" si="9"/>
        <v>64426.56</v>
      </c>
    </row>
    <row r="279" spans="1:6" ht="12.75" customHeight="1" hidden="1">
      <c r="A279" s="27" t="s">
        <v>187</v>
      </c>
      <c r="B279" s="64" t="s">
        <v>205</v>
      </c>
      <c r="C279" s="28" t="s">
        <v>148</v>
      </c>
      <c r="D279" s="82" t="e">
        <f>SUM(D280:D280)</f>
        <v>#REF!</v>
      </c>
      <c r="E279" s="82" t="e">
        <f>SUM(E280:E280)</f>
        <v>#REF!</v>
      </c>
      <c r="F279" s="82" t="e">
        <f t="shared" si="9"/>
        <v>#REF!</v>
      </c>
    </row>
    <row r="280" spans="1:6" ht="11.25" customHeight="1" hidden="1">
      <c r="A280" s="27" t="s">
        <v>188</v>
      </c>
      <c r="B280" s="64" t="s">
        <v>205</v>
      </c>
      <c r="C280" s="28" t="s">
        <v>332</v>
      </c>
      <c r="D280" s="82" t="e">
        <f>#REF!</f>
        <v>#REF!</v>
      </c>
      <c r="E280" s="82" t="e">
        <f>#REF!</f>
        <v>#REF!</v>
      </c>
      <c r="F280" s="82" t="e">
        <f t="shared" si="9"/>
        <v>#REF!</v>
      </c>
    </row>
    <row r="281" spans="1:6" ht="12.75">
      <c r="A281" s="27" t="s">
        <v>171</v>
      </c>
      <c r="B281" s="64" t="s">
        <v>205</v>
      </c>
      <c r="C281" s="28" t="s">
        <v>333</v>
      </c>
      <c r="D281" s="82">
        <f>D290+D301+D299+D297</f>
        <v>311769</v>
      </c>
      <c r="E281" s="82">
        <f>E290+E301+E299+E297</f>
        <v>289443.36</v>
      </c>
      <c r="F281" s="82">
        <f t="shared" si="9"/>
        <v>22325.64</v>
      </c>
    </row>
    <row r="282" spans="1:6" ht="12.75">
      <c r="A282" s="27" t="s">
        <v>189</v>
      </c>
      <c r="B282" s="64" t="s">
        <v>205</v>
      </c>
      <c r="C282" s="28" t="s">
        <v>455</v>
      </c>
      <c r="D282" s="82">
        <f>D283+D284</f>
        <v>153000</v>
      </c>
      <c r="E282" s="82">
        <f>E283+E284</f>
        <v>98382.73</v>
      </c>
      <c r="F282" s="82">
        <f t="shared" si="9"/>
        <v>54617.27</v>
      </c>
    </row>
    <row r="283" spans="1:6" ht="22.5">
      <c r="A283" s="27" t="s">
        <v>190</v>
      </c>
      <c r="B283" s="64" t="s">
        <v>205</v>
      </c>
      <c r="C283" s="28" t="s">
        <v>456</v>
      </c>
      <c r="D283" s="82">
        <f>D326</f>
        <v>79200</v>
      </c>
      <c r="E283" s="82">
        <f>E326</f>
        <v>78826.73</v>
      </c>
      <c r="F283" s="82">
        <f t="shared" si="9"/>
        <v>373.27</v>
      </c>
    </row>
    <row r="284" spans="1:6" ht="22.5">
      <c r="A284" s="27" t="s">
        <v>191</v>
      </c>
      <c r="B284" s="64" t="s">
        <v>205</v>
      </c>
      <c r="C284" s="28" t="s">
        <v>457</v>
      </c>
      <c r="D284" s="82">
        <f>D327</f>
        <v>73800</v>
      </c>
      <c r="E284" s="82">
        <f>E327</f>
        <v>19556</v>
      </c>
      <c r="F284" s="82">
        <f t="shared" si="9"/>
        <v>54244</v>
      </c>
    </row>
    <row r="285" spans="1:6" ht="38.25" customHeight="1">
      <c r="A285" s="33" t="s">
        <v>572</v>
      </c>
      <c r="B285" s="63" t="s">
        <v>205</v>
      </c>
      <c r="C285" s="24" t="s">
        <v>573</v>
      </c>
      <c r="D285" s="85">
        <f>D286</f>
        <v>530000</v>
      </c>
      <c r="E285" s="85">
        <f>E286</f>
        <v>523166.19</v>
      </c>
      <c r="F285" s="82">
        <f t="shared" si="9"/>
        <v>6833.81</v>
      </c>
    </row>
    <row r="286" spans="1:6" s="19" customFormat="1" ht="12.75">
      <c r="A286" s="27" t="s">
        <v>178</v>
      </c>
      <c r="B286" s="64" t="s">
        <v>205</v>
      </c>
      <c r="C286" s="28" t="s">
        <v>574</v>
      </c>
      <c r="D286" s="82">
        <f>D287+D290</f>
        <v>530000</v>
      </c>
      <c r="E286" s="82">
        <f>E287+E290</f>
        <v>523166.19</v>
      </c>
      <c r="F286" s="82">
        <f t="shared" si="9"/>
        <v>6833.81</v>
      </c>
    </row>
    <row r="287" spans="1:6" s="19" customFormat="1" ht="12.75">
      <c r="A287" s="27" t="s">
        <v>181</v>
      </c>
      <c r="B287" s="64" t="s">
        <v>205</v>
      </c>
      <c r="C287" s="28" t="s">
        <v>575</v>
      </c>
      <c r="D287" s="82">
        <f>D288+D289</f>
        <v>467000</v>
      </c>
      <c r="E287" s="82">
        <f>E288+E289</f>
        <v>461068.19</v>
      </c>
      <c r="F287" s="82">
        <f t="shared" si="9"/>
        <v>5931.81</v>
      </c>
    </row>
    <row r="288" spans="1:6" s="19" customFormat="1" ht="12" customHeight="1">
      <c r="A288" s="25" t="s">
        <v>183</v>
      </c>
      <c r="B288" s="65" t="s">
        <v>205</v>
      </c>
      <c r="C288" s="26" t="s">
        <v>576</v>
      </c>
      <c r="D288" s="78">
        <v>300000</v>
      </c>
      <c r="E288" s="78">
        <v>294432.59</v>
      </c>
      <c r="F288" s="82">
        <f t="shared" si="9"/>
        <v>5567.41</v>
      </c>
    </row>
    <row r="289" spans="1:6" s="19" customFormat="1" ht="12" customHeight="1">
      <c r="A289" s="25" t="s">
        <v>186</v>
      </c>
      <c r="B289" s="65" t="s">
        <v>205</v>
      </c>
      <c r="C289" s="26" t="s">
        <v>577</v>
      </c>
      <c r="D289" s="78">
        <v>167000</v>
      </c>
      <c r="E289" s="78">
        <v>166635.6</v>
      </c>
      <c r="F289" s="82">
        <f t="shared" si="9"/>
        <v>364.4</v>
      </c>
    </row>
    <row r="290" spans="1:6" s="19" customFormat="1" ht="12" customHeight="1">
      <c r="A290" s="176" t="s">
        <v>578</v>
      </c>
      <c r="B290" s="177" t="s">
        <v>205</v>
      </c>
      <c r="C290" s="178" t="s">
        <v>581</v>
      </c>
      <c r="D290" s="179">
        <f>D291+D292</f>
        <v>63000</v>
      </c>
      <c r="E290" s="179">
        <f>E291+E292</f>
        <v>62098</v>
      </c>
      <c r="F290" s="82">
        <f t="shared" si="9"/>
        <v>902</v>
      </c>
    </row>
    <row r="291" spans="1:6" s="19" customFormat="1" ht="12" customHeight="1">
      <c r="A291" s="25" t="s">
        <v>578</v>
      </c>
      <c r="B291" s="65" t="s">
        <v>205</v>
      </c>
      <c r="C291" s="26" t="s">
        <v>579</v>
      </c>
      <c r="D291" s="78">
        <v>63000</v>
      </c>
      <c r="E291" s="78">
        <v>62098</v>
      </c>
      <c r="F291" s="82">
        <f t="shared" si="9"/>
        <v>902</v>
      </c>
    </row>
    <row r="292" spans="1:6" s="19" customFormat="1" ht="12" customHeight="1">
      <c r="A292" s="25" t="s">
        <v>171</v>
      </c>
      <c r="B292" s="65" t="s">
        <v>205</v>
      </c>
      <c r="C292" s="26" t="s">
        <v>580</v>
      </c>
      <c r="D292" s="78">
        <f>144000-144000</f>
        <v>0</v>
      </c>
      <c r="E292" s="78"/>
      <c r="F292" s="82">
        <f t="shared" si="9"/>
        <v>0</v>
      </c>
    </row>
    <row r="293" spans="1:6" s="19" customFormat="1" ht="39" customHeight="1">
      <c r="A293" s="33" t="s">
        <v>147</v>
      </c>
      <c r="B293" s="63" t="s">
        <v>205</v>
      </c>
      <c r="C293" s="24" t="s">
        <v>582</v>
      </c>
      <c r="D293" s="85">
        <f>D294</f>
        <v>298769</v>
      </c>
      <c r="E293" s="85">
        <f>E294</f>
        <v>251436.36</v>
      </c>
      <c r="F293" s="82">
        <f t="shared" si="9"/>
        <v>47332.64</v>
      </c>
    </row>
    <row r="294" spans="1:6" s="19" customFormat="1" ht="12" customHeight="1">
      <c r="A294" s="27" t="s">
        <v>178</v>
      </c>
      <c r="B294" s="64" t="s">
        <v>205</v>
      </c>
      <c r="C294" s="28" t="s">
        <v>583</v>
      </c>
      <c r="D294" s="82">
        <f>D295+D300+D298+D297</f>
        <v>298769</v>
      </c>
      <c r="E294" s="82">
        <f>E295+E300+E298+E297</f>
        <v>251436.36</v>
      </c>
      <c r="F294" s="82">
        <f t="shared" si="9"/>
        <v>47332.64</v>
      </c>
    </row>
    <row r="295" spans="1:6" s="19" customFormat="1" ht="15.75" customHeight="1">
      <c r="A295" s="27" t="s">
        <v>181</v>
      </c>
      <c r="B295" s="64" t="s">
        <v>205</v>
      </c>
      <c r="C295" s="28" t="s">
        <v>584</v>
      </c>
      <c r="D295" s="82">
        <f>D296</f>
        <v>50000</v>
      </c>
      <c r="E295" s="82">
        <f>E296</f>
        <v>24091</v>
      </c>
      <c r="F295" s="82">
        <f t="shared" si="9"/>
        <v>25909</v>
      </c>
    </row>
    <row r="296" spans="1:6" s="19" customFormat="1" ht="15.75" customHeight="1">
      <c r="A296" s="25" t="s">
        <v>186</v>
      </c>
      <c r="B296" s="65" t="s">
        <v>205</v>
      </c>
      <c r="C296" s="26" t="s">
        <v>585</v>
      </c>
      <c r="D296" s="78">
        <f>90000-40000</f>
        <v>50000</v>
      </c>
      <c r="E296" s="78">
        <v>24091</v>
      </c>
      <c r="F296" s="82">
        <f t="shared" si="9"/>
        <v>25909</v>
      </c>
    </row>
    <row r="297" spans="1:6" s="19" customFormat="1" ht="15.75" customHeight="1">
      <c r="A297" s="25" t="s">
        <v>171</v>
      </c>
      <c r="B297" s="65" t="s">
        <v>205</v>
      </c>
      <c r="C297" s="26" t="s">
        <v>586</v>
      </c>
      <c r="D297" s="78">
        <v>105000</v>
      </c>
      <c r="E297" s="78">
        <v>83700</v>
      </c>
      <c r="F297" s="82">
        <f t="shared" si="9"/>
        <v>21300</v>
      </c>
    </row>
    <row r="298" spans="1:6" s="19" customFormat="1" ht="15.75" customHeight="1">
      <c r="A298" s="25" t="s">
        <v>839</v>
      </c>
      <c r="B298" s="65" t="s">
        <v>205</v>
      </c>
      <c r="C298" s="26" t="s">
        <v>840</v>
      </c>
      <c r="D298" s="78">
        <f>D299</f>
        <v>120369</v>
      </c>
      <c r="E298" s="78">
        <f>E299</f>
        <v>120367.36</v>
      </c>
      <c r="F298" s="82">
        <f>D298-E298</f>
        <v>1.64</v>
      </c>
    </row>
    <row r="299" spans="1:6" s="19" customFormat="1" ht="15.75" customHeight="1">
      <c r="A299" s="25" t="s">
        <v>578</v>
      </c>
      <c r="B299" s="65" t="s">
        <v>205</v>
      </c>
      <c r="C299" s="26" t="s">
        <v>841</v>
      </c>
      <c r="D299" s="78">
        <f>120370-1</f>
        <v>120369</v>
      </c>
      <c r="E299" s="78">
        <v>120367.36</v>
      </c>
      <c r="F299" s="82">
        <f>D299-E299</f>
        <v>1.64</v>
      </c>
    </row>
    <row r="300" spans="1:6" s="19" customFormat="1" ht="15.75" customHeight="1">
      <c r="A300" s="25" t="s">
        <v>571</v>
      </c>
      <c r="B300" s="65" t="s">
        <v>205</v>
      </c>
      <c r="C300" s="26" t="s">
        <v>587</v>
      </c>
      <c r="D300" s="78">
        <f>D301</f>
        <v>23400</v>
      </c>
      <c r="E300" s="78">
        <f>E301</f>
        <v>23278</v>
      </c>
      <c r="F300" s="82">
        <f t="shared" si="9"/>
        <v>122</v>
      </c>
    </row>
    <row r="301" spans="1:6" s="19" customFormat="1" ht="15.75" customHeight="1">
      <c r="A301" s="25" t="s">
        <v>578</v>
      </c>
      <c r="B301" s="65" t="s">
        <v>205</v>
      </c>
      <c r="C301" s="26" t="s">
        <v>588</v>
      </c>
      <c r="D301" s="78">
        <v>23400</v>
      </c>
      <c r="E301" s="78">
        <v>23278</v>
      </c>
      <c r="F301" s="82">
        <f t="shared" si="9"/>
        <v>122</v>
      </c>
    </row>
    <row r="302" spans="1:6" s="19" customFormat="1" ht="50.25" customHeight="1">
      <c r="A302" s="33" t="s">
        <v>361</v>
      </c>
      <c r="B302" s="63" t="s">
        <v>205</v>
      </c>
      <c r="C302" s="24" t="s">
        <v>589</v>
      </c>
      <c r="D302" s="85">
        <f>D307+D303</f>
        <v>40070</v>
      </c>
      <c r="E302" s="85">
        <f>E307+E303</f>
        <v>40069.2</v>
      </c>
      <c r="F302" s="93">
        <f t="shared" si="9"/>
        <v>0.8</v>
      </c>
    </row>
    <row r="303" spans="1:6" s="19" customFormat="1" ht="23.25" customHeight="1">
      <c r="A303" s="187" t="s">
        <v>590</v>
      </c>
      <c r="B303" s="188" t="s">
        <v>205</v>
      </c>
      <c r="C303" s="189" t="s">
        <v>591</v>
      </c>
      <c r="D303" s="190">
        <f>SUM(D304:D306)</f>
        <v>21070</v>
      </c>
      <c r="E303" s="190">
        <f>SUM(E304:E306)</f>
        <v>21069.2</v>
      </c>
      <c r="F303" s="93">
        <f t="shared" si="9"/>
        <v>0.8</v>
      </c>
    </row>
    <row r="304" spans="1:6" s="19" customFormat="1" ht="17.25" customHeight="1">
      <c r="A304" s="134" t="s">
        <v>180</v>
      </c>
      <c r="B304" s="65" t="s">
        <v>205</v>
      </c>
      <c r="C304" s="26" t="s">
        <v>592</v>
      </c>
      <c r="D304" s="83">
        <f aca="true" t="shared" si="10" ref="D304:E306">D312</f>
        <v>6530</v>
      </c>
      <c r="E304" s="83">
        <f t="shared" si="10"/>
        <v>6530</v>
      </c>
      <c r="F304" s="93">
        <f t="shared" si="9"/>
        <v>0</v>
      </c>
    </row>
    <row r="305" spans="1:6" s="19" customFormat="1" ht="15" customHeight="1">
      <c r="A305" s="134" t="s">
        <v>593</v>
      </c>
      <c r="B305" s="65" t="s">
        <v>205</v>
      </c>
      <c r="C305" s="26" t="s">
        <v>594</v>
      </c>
      <c r="D305" s="83">
        <f t="shared" si="10"/>
        <v>2859</v>
      </c>
      <c r="E305" s="83">
        <f t="shared" si="10"/>
        <v>2858.2</v>
      </c>
      <c r="F305" s="93">
        <f t="shared" si="9"/>
        <v>0.8</v>
      </c>
    </row>
    <row r="306" spans="1:6" s="19" customFormat="1" ht="15" customHeight="1">
      <c r="A306" s="134" t="s">
        <v>578</v>
      </c>
      <c r="B306" s="65" t="s">
        <v>205</v>
      </c>
      <c r="C306" s="26" t="s">
        <v>595</v>
      </c>
      <c r="D306" s="83">
        <f t="shared" si="10"/>
        <v>11681</v>
      </c>
      <c r="E306" s="83">
        <f t="shared" si="10"/>
        <v>11681</v>
      </c>
      <c r="F306" s="93">
        <f t="shared" si="9"/>
        <v>0</v>
      </c>
    </row>
    <row r="307" spans="1:6" s="19" customFormat="1" ht="12" customHeight="1">
      <c r="A307" s="27" t="s">
        <v>178</v>
      </c>
      <c r="B307" s="64" t="s">
        <v>205</v>
      </c>
      <c r="C307" s="28" t="s">
        <v>596</v>
      </c>
      <c r="D307" s="82">
        <f>D308</f>
        <v>19000</v>
      </c>
      <c r="E307" s="82">
        <f>E308</f>
        <v>19000</v>
      </c>
      <c r="F307" s="93">
        <f t="shared" si="9"/>
        <v>0</v>
      </c>
    </row>
    <row r="308" spans="1:6" s="19" customFormat="1" ht="12" customHeight="1">
      <c r="A308" s="27" t="s">
        <v>181</v>
      </c>
      <c r="B308" s="64" t="s">
        <v>205</v>
      </c>
      <c r="C308" s="28" t="s">
        <v>597</v>
      </c>
      <c r="D308" s="82">
        <f>D309</f>
        <v>19000</v>
      </c>
      <c r="E308" s="82">
        <f>E309</f>
        <v>19000</v>
      </c>
      <c r="F308" s="93">
        <f t="shared" si="9"/>
        <v>0</v>
      </c>
    </row>
    <row r="309" spans="1:6" s="19" customFormat="1" ht="12" customHeight="1">
      <c r="A309" s="25" t="s">
        <v>186</v>
      </c>
      <c r="B309" s="97" t="s">
        <v>205</v>
      </c>
      <c r="C309" s="149" t="s">
        <v>598</v>
      </c>
      <c r="D309" s="158">
        <f>D317</f>
        <v>19000</v>
      </c>
      <c r="E309" s="158">
        <f>E317</f>
        <v>19000</v>
      </c>
      <c r="F309" s="93">
        <f t="shared" si="9"/>
        <v>0</v>
      </c>
    </row>
    <row r="310" spans="1:6" s="19" customFormat="1" ht="50.25" customHeight="1">
      <c r="A310" s="33" t="s">
        <v>599</v>
      </c>
      <c r="B310" s="63" t="s">
        <v>205</v>
      </c>
      <c r="C310" s="24" t="s">
        <v>600</v>
      </c>
      <c r="D310" s="85">
        <f>D315+D311</f>
        <v>40070</v>
      </c>
      <c r="E310" s="85">
        <f>E315+E311</f>
        <v>40069.2</v>
      </c>
      <c r="F310" s="93">
        <f aca="true" t="shared" si="11" ref="F310:F317">D310-E310</f>
        <v>0.8</v>
      </c>
    </row>
    <row r="311" spans="1:6" s="19" customFormat="1" ht="23.25" customHeight="1">
      <c r="A311" s="187" t="s">
        <v>590</v>
      </c>
      <c r="B311" s="188" t="s">
        <v>205</v>
      </c>
      <c r="C311" s="189" t="s">
        <v>601</v>
      </c>
      <c r="D311" s="190">
        <f>SUM(D312:D314)</f>
        <v>21070</v>
      </c>
      <c r="E311" s="190">
        <f>SUM(E312:E314)</f>
        <v>21069.2</v>
      </c>
      <c r="F311" s="93">
        <f t="shared" si="11"/>
        <v>0.8</v>
      </c>
    </row>
    <row r="312" spans="1:6" s="19" customFormat="1" ht="17.25" customHeight="1">
      <c r="A312" s="134" t="s">
        <v>180</v>
      </c>
      <c r="B312" s="65" t="s">
        <v>205</v>
      </c>
      <c r="C312" s="26" t="s">
        <v>602</v>
      </c>
      <c r="D312" s="83">
        <v>6530</v>
      </c>
      <c r="E312" s="83">
        <v>6530</v>
      </c>
      <c r="F312" s="93">
        <f t="shared" si="11"/>
        <v>0</v>
      </c>
    </row>
    <row r="313" spans="1:6" s="19" customFormat="1" ht="15" customHeight="1">
      <c r="A313" s="134" t="s">
        <v>593</v>
      </c>
      <c r="B313" s="65" t="s">
        <v>205</v>
      </c>
      <c r="C313" s="26" t="s">
        <v>603</v>
      </c>
      <c r="D313" s="83">
        <f>2858+1</f>
        <v>2859</v>
      </c>
      <c r="E313" s="83">
        <v>2858.2</v>
      </c>
      <c r="F313" s="93">
        <f t="shared" si="11"/>
        <v>0.8</v>
      </c>
    </row>
    <row r="314" spans="1:6" s="19" customFormat="1" ht="15" customHeight="1">
      <c r="A314" s="134" t="s">
        <v>578</v>
      </c>
      <c r="B314" s="65" t="s">
        <v>205</v>
      </c>
      <c r="C314" s="26" t="s">
        <v>604</v>
      </c>
      <c r="D314" s="83">
        <v>11681</v>
      </c>
      <c r="E314" s="83">
        <v>11681</v>
      </c>
      <c r="F314" s="93">
        <f t="shared" si="11"/>
        <v>0</v>
      </c>
    </row>
    <row r="315" spans="1:6" s="19" customFormat="1" ht="12" customHeight="1">
      <c r="A315" s="27" t="s">
        <v>178</v>
      </c>
      <c r="B315" s="64" t="s">
        <v>205</v>
      </c>
      <c r="C315" s="28" t="s">
        <v>605</v>
      </c>
      <c r="D315" s="82">
        <f>D316</f>
        <v>19000</v>
      </c>
      <c r="E315" s="82">
        <f>E316</f>
        <v>19000</v>
      </c>
      <c r="F315" s="93">
        <f t="shared" si="11"/>
        <v>0</v>
      </c>
    </row>
    <row r="316" spans="1:6" s="19" customFormat="1" ht="12" customHeight="1">
      <c r="A316" s="27" t="s">
        <v>181</v>
      </c>
      <c r="B316" s="64" t="s">
        <v>205</v>
      </c>
      <c r="C316" s="28" t="s">
        <v>606</v>
      </c>
      <c r="D316" s="82">
        <f>D317</f>
        <v>19000</v>
      </c>
      <c r="E316" s="82">
        <f>E317</f>
        <v>19000</v>
      </c>
      <c r="F316" s="93">
        <f t="shared" si="11"/>
        <v>0</v>
      </c>
    </row>
    <row r="317" spans="1:6" s="19" customFormat="1" ht="12" customHeight="1">
      <c r="A317" s="25" t="s">
        <v>186</v>
      </c>
      <c r="B317" s="97" t="s">
        <v>205</v>
      </c>
      <c r="C317" s="149" t="s">
        <v>607</v>
      </c>
      <c r="D317" s="158">
        <v>19000</v>
      </c>
      <c r="E317" s="158">
        <v>19000</v>
      </c>
      <c r="F317" s="93">
        <f t="shared" si="11"/>
        <v>0</v>
      </c>
    </row>
    <row r="318" spans="1:6" s="19" customFormat="1" ht="52.5" customHeight="1">
      <c r="A318" s="33" t="s">
        <v>453</v>
      </c>
      <c r="B318" s="159">
        <v>200</v>
      </c>
      <c r="C318" s="160" t="s">
        <v>617</v>
      </c>
      <c r="D318" s="161">
        <f>D319+D325+D323</f>
        <v>900000</v>
      </c>
      <c r="E318" s="161">
        <f>E319+E325+E323</f>
        <v>779956.78</v>
      </c>
      <c r="F318" s="93">
        <f t="shared" si="9"/>
        <v>120043.22</v>
      </c>
    </row>
    <row r="319" spans="1:6" s="19" customFormat="1" ht="14.25" customHeight="1">
      <c r="A319" s="27" t="s">
        <v>181</v>
      </c>
      <c r="B319" s="64" t="s">
        <v>205</v>
      </c>
      <c r="C319" s="28" t="s">
        <v>608</v>
      </c>
      <c r="D319" s="82">
        <f>SUM(D320:D322)</f>
        <v>687000</v>
      </c>
      <c r="E319" s="82">
        <f>SUM(E320:E322)</f>
        <v>623974.05</v>
      </c>
      <c r="F319" s="82">
        <f t="shared" si="9"/>
        <v>63025.95</v>
      </c>
    </row>
    <row r="320" spans="1:6" s="19" customFormat="1" ht="14.25" customHeight="1">
      <c r="A320" s="25" t="s">
        <v>182</v>
      </c>
      <c r="B320" s="65" t="s">
        <v>205</v>
      </c>
      <c r="C320" s="26" t="s">
        <v>609</v>
      </c>
      <c r="D320" s="78">
        <v>277000</v>
      </c>
      <c r="E320" s="78">
        <v>252127.21</v>
      </c>
      <c r="F320" s="82">
        <f t="shared" si="9"/>
        <v>24872.79</v>
      </c>
    </row>
    <row r="321" spans="1:6" s="19" customFormat="1" ht="14.25" customHeight="1">
      <c r="A321" s="25" t="s">
        <v>185</v>
      </c>
      <c r="B321" s="65" t="s">
        <v>205</v>
      </c>
      <c r="C321" s="26" t="s">
        <v>610</v>
      </c>
      <c r="D321" s="78"/>
      <c r="E321" s="78"/>
      <c r="F321" s="82">
        <f t="shared" si="9"/>
        <v>0</v>
      </c>
    </row>
    <row r="322" spans="1:6" s="19" customFormat="1" ht="14.25" customHeight="1">
      <c r="A322" s="25" t="s">
        <v>186</v>
      </c>
      <c r="B322" s="65" t="s">
        <v>205</v>
      </c>
      <c r="C322" s="26" t="s">
        <v>611</v>
      </c>
      <c r="D322" s="78">
        <v>410000</v>
      </c>
      <c r="E322" s="78">
        <v>371846.84</v>
      </c>
      <c r="F322" s="82">
        <f t="shared" si="9"/>
        <v>38153.16</v>
      </c>
    </row>
    <row r="323" spans="1:6" s="19" customFormat="1" ht="14.25" customHeight="1">
      <c r="A323" s="27" t="s">
        <v>181</v>
      </c>
      <c r="B323" s="64" t="s">
        <v>205</v>
      </c>
      <c r="C323" s="28" t="s">
        <v>612</v>
      </c>
      <c r="D323" s="82">
        <f>D324</f>
        <v>60000</v>
      </c>
      <c r="E323" s="82">
        <f>E324</f>
        <v>57600</v>
      </c>
      <c r="F323" s="82">
        <f>D323-E323</f>
        <v>2400</v>
      </c>
    </row>
    <row r="324" spans="1:6" s="19" customFormat="1" ht="14.25" customHeight="1">
      <c r="A324" s="25" t="s">
        <v>185</v>
      </c>
      <c r="B324" s="65" t="s">
        <v>205</v>
      </c>
      <c r="C324" s="26" t="s">
        <v>613</v>
      </c>
      <c r="D324" s="78">
        <v>60000</v>
      </c>
      <c r="E324" s="78">
        <v>57600</v>
      </c>
      <c r="F324" s="82">
        <f>D324-E324</f>
        <v>2400</v>
      </c>
    </row>
    <row r="325" spans="1:6" s="19" customFormat="1" ht="14.25" customHeight="1">
      <c r="A325" s="27" t="s">
        <v>189</v>
      </c>
      <c r="B325" s="64" t="s">
        <v>205</v>
      </c>
      <c r="C325" s="28" t="s">
        <v>614</v>
      </c>
      <c r="D325" s="82">
        <f>SUM(D326:D327)</f>
        <v>153000</v>
      </c>
      <c r="E325" s="82">
        <f>SUM(E326:E327)</f>
        <v>98382.73</v>
      </c>
      <c r="F325" s="82">
        <f aca="true" t="shared" si="12" ref="F325:F330">D325-E325</f>
        <v>54617.27</v>
      </c>
    </row>
    <row r="326" spans="1:6" s="19" customFormat="1" ht="14.25" customHeight="1">
      <c r="A326" s="25" t="s">
        <v>190</v>
      </c>
      <c r="B326" s="65" t="s">
        <v>205</v>
      </c>
      <c r="C326" s="26" t="s">
        <v>615</v>
      </c>
      <c r="D326" s="78">
        <f>50000+12000+17200</f>
        <v>79200</v>
      </c>
      <c r="E326" s="78">
        <v>78826.73</v>
      </c>
      <c r="F326" s="82">
        <f t="shared" si="12"/>
        <v>373.27</v>
      </c>
    </row>
    <row r="327" spans="1:6" s="19" customFormat="1" ht="14.25" customHeight="1">
      <c r="A327" s="25" t="s">
        <v>191</v>
      </c>
      <c r="B327" s="65" t="s">
        <v>205</v>
      </c>
      <c r="C327" s="26" t="s">
        <v>616</v>
      </c>
      <c r="D327" s="78">
        <f>103000-12000-17200</f>
        <v>73800</v>
      </c>
      <c r="E327" s="110">
        <v>19556</v>
      </c>
      <c r="F327" s="82">
        <f t="shared" si="12"/>
        <v>54244</v>
      </c>
    </row>
    <row r="328" spans="1:6" s="19" customFormat="1" ht="24.75" customHeight="1">
      <c r="A328" s="33" t="s">
        <v>461</v>
      </c>
      <c r="B328" s="165">
        <v>200</v>
      </c>
      <c r="C328" s="166" t="s">
        <v>618</v>
      </c>
      <c r="D328" s="167">
        <f>D329</f>
        <v>0</v>
      </c>
      <c r="E328" s="167">
        <f>E329</f>
        <v>0</v>
      </c>
      <c r="F328" s="82">
        <f t="shared" si="12"/>
        <v>0</v>
      </c>
    </row>
    <row r="329" spans="1:6" s="19" customFormat="1" ht="14.25" customHeight="1">
      <c r="A329" s="27" t="s">
        <v>181</v>
      </c>
      <c r="B329" s="115" t="s">
        <v>205</v>
      </c>
      <c r="C329" s="115" t="s">
        <v>619</v>
      </c>
      <c r="D329" s="157">
        <f>D330</f>
        <v>0</v>
      </c>
      <c r="E329" s="157">
        <f>E330</f>
        <v>0</v>
      </c>
      <c r="F329" s="82">
        <f t="shared" si="12"/>
        <v>0</v>
      </c>
    </row>
    <row r="330" spans="1:6" s="19" customFormat="1" ht="14.25" customHeight="1">
      <c r="A330" s="25" t="s">
        <v>454</v>
      </c>
      <c r="B330" s="26" t="s">
        <v>205</v>
      </c>
      <c r="C330" s="162" t="s">
        <v>620</v>
      </c>
      <c r="D330" s="163">
        <v>0</v>
      </c>
      <c r="E330" s="164">
        <v>0</v>
      </c>
      <c r="F330" s="82">
        <f t="shared" si="12"/>
        <v>0</v>
      </c>
    </row>
    <row r="331" spans="1:6" s="19" customFormat="1" ht="12.75">
      <c r="A331" s="117" t="s">
        <v>34</v>
      </c>
      <c r="B331" s="37" t="s">
        <v>205</v>
      </c>
      <c r="C331" s="69" t="s">
        <v>36</v>
      </c>
      <c r="D331" s="89">
        <f>D332</f>
        <v>1140400</v>
      </c>
      <c r="E331" s="89">
        <f>E332</f>
        <v>1140400</v>
      </c>
      <c r="F331" s="82">
        <f t="shared" si="9"/>
        <v>0</v>
      </c>
    </row>
    <row r="332" spans="1:6" s="19" customFormat="1" ht="38.25">
      <c r="A332" s="80" t="s">
        <v>35</v>
      </c>
      <c r="B332" s="100" t="s">
        <v>205</v>
      </c>
      <c r="C332" s="70" t="s">
        <v>621</v>
      </c>
      <c r="D332" s="86">
        <f>D333+D334</f>
        <v>1140400</v>
      </c>
      <c r="E332" s="86">
        <f>E333+E334</f>
        <v>1140400</v>
      </c>
      <c r="F332" s="82">
        <f t="shared" si="9"/>
        <v>0</v>
      </c>
    </row>
    <row r="333" spans="1:6" s="19" customFormat="1" ht="12.75">
      <c r="A333" s="27" t="s">
        <v>178</v>
      </c>
      <c r="B333" s="64" t="s">
        <v>205</v>
      </c>
      <c r="C333" s="28" t="s">
        <v>622</v>
      </c>
      <c r="D333" s="82">
        <f>D335+D342+D338</f>
        <v>1001621.44</v>
      </c>
      <c r="E333" s="82">
        <f>E335+E342+E338</f>
        <v>1001621.44</v>
      </c>
      <c r="F333" s="82">
        <f t="shared" si="9"/>
        <v>0</v>
      </c>
    </row>
    <row r="334" spans="1:6" s="19" customFormat="1" ht="12.75">
      <c r="A334" s="27" t="s">
        <v>189</v>
      </c>
      <c r="B334" s="64" t="s">
        <v>205</v>
      </c>
      <c r="C334" s="28" t="s">
        <v>637</v>
      </c>
      <c r="D334" s="82">
        <f>D346</f>
        <v>138778.56</v>
      </c>
      <c r="E334" s="82">
        <f>E346</f>
        <v>138778.56</v>
      </c>
      <c r="F334" s="82"/>
    </row>
    <row r="335" spans="1:6" s="19" customFormat="1" ht="22.5">
      <c r="A335" s="27" t="s">
        <v>179</v>
      </c>
      <c r="B335" s="64" t="s">
        <v>205</v>
      </c>
      <c r="C335" s="28" t="s">
        <v>623</v>
      </c>
      <c r="D335" s="82">
        <f>SUM(D336:D337)</f>
        <v>931951.38</v>
      </c>
      <c r="E335" s="82">
        <f>SUM(E336:E337)</f>
        <v>931951.38</v>
      </c>
      <c r="F335" s="82">
        <f t="shared" si="9"/>
        <v>0</v>
      </c>
    </row>
    <row r="336" spans="1:6" s="19" customFormat="1" ht="12" customHeight="1">
      <c r="A336" s="25" t="s">
        <v>80</v>
      </c>
      <c r="B336" s="65" t="s">
        <v>205</v>
      </c>
      <c r="C336" s="26" t="s">
        <v>624</v>
      </c>
      <c r="D336" s="78">
        <v>715784.47</v>
      </c>
      <c r="E336" s="78">
        <v>715784.47</v>
      </c>
      <c r="F336" s="82">
        <f t="shared" si="9"/>
        <v>0</v>
      </c>
    </row>
    <row r="337" spans="1:6" s="19" customFormat="1" ht="12" customHeight="1">
      <c r="A337" s="25" t="s">
        <v>172</v>
      </c>
      <c r="B337" s="65" t="s">
        <v>205</v>
      </c>
      <c r="C337" s="26" t="s">
        <v>625</v>
      </c>
      <c r="D337" s="78">
        <v>216166.91</v>
      </c>
      <c r="E337" s="78">
        <v>216166.91</v>
      </c>
      <c r="F337" s="82">
        <f t="shared" si="9"/>
        <v>0</v>
      </c>
    </row>
    <row r="338" spans="1:6" s="19" customFormat="1" ht="24" customHeight="1">
      <c r="A338" s="176" t="s">
        <v>629</v>
      </c>
      <c r="B338" s="177" t="s">
        <v>205</v>
      </c>
      <c r="C338" s="178" t="s">
        <v>626</v>
      </c>
      <c r="D338" s="179">
        <f>SUM(D339:D341)</f>
        <v>19764</v>
      </c>
      <c r="E338" s="179">
        <f>SUM(E339:E341)</f>
        <v>19764</v>
      </c>
      <c r="F338" s="82">
        <f t="shared" si="9"/>
        <v>0</v>
      </c>
    </row>
    <row r="339" spans="1:6" s="19" customFormat="1" ht="12" customHeight="1">
      <c r="A339" s="25" t="s">
        <v>180</v>
      </c>
      <c r="B339" s="65" t="s">
        <v>205</v>
      </c>
      <c r="C339" s="26" t="s">
        <v>627</v>
      </c>
      <c r="D339" s="78">
        <v>1000</v>
      </c>
      <c r="E339" s="78">
        <v>1000</v>
      </c>
      <c r="F339" s="82">
        <f>D339-E339</f>
        <v>0</v>
      </c>
    </row>
    <row r="340" spans="1:6" s="19" customFormat="1" ht="12" customHeight="1">
      <c r="A340" s="25" t="s">
        <v>173</v>
      </c>
      <c r="B340" s="65" t="s">
        <v>205</v>
      </c>
      <c r="C340" s="26" t="s">
        <v>630</v>
      </c>
      <c r="D340" s="78">
        <v>864</v>
      </c>
      <c r="E340" s="78">
        <v>864</v>
      </c>
      <c r="F340" s="82">
        <f>D340-E340</f>
        <v>0</v>
      </c>
    </row>
    <row r="341" spans="1:6" s="19" customFormat="1" ht="12" customHeight="1">
      <c r="A341" s="25" t="s">
        <v>186</v>
      </c>
      <c r="B341" s="65" t="s">
        <v>205</v>
      </c>
      <c r="C341" s="26" t="s">
        <v>628</v>
      </c>
      <c r="D341" s="78">
        <v>17900</v>
      </c>
      <c r="E341" s="78">
        <v>17900</v>
      </c>
      <c r="F341" s="82">
        <f>D341-E341</f>
        <v>0</v>
      </c>
    </row>
    <row r="342" spans="1:6" s="19" customFormat="1" ht="12.75">
      <c r="A342" s="27" t="s">
        <v>181</v>
      </c>
      <c r="B342" s="64" t="s">
        <v>205</v>
      </c>
      <c r="C342" s="28" t="s">
        <v>830</v>
      </c>
      <c r="D342" s="82">
        <f>SUM(D343:D345)</f>
        <v>49906.06</v>
      </c>
      <c r="E342" s="82">
        <f>SUM(E343:E345)</f>
        <v>49906.06</v>
      </c>
      <c r="F342" s="82">
        <f t="shared" si="9"/>
        <v>0</v>
      </c>
    </row>
    <row r="343" spans="1:6" s="19" customFormat="1" ht="12.75">
      <c r="A343" s="25" t="s">
        <v>182</v>
      </c>
      <c r="B343" s="65" t="s">
        <v>205</v>
      </c>
      <c r="C343" s="26" t="s">
        <v>631</v>
      </c>
      <c r="D343" s="78">
        <v>8736.18</v>
      </c>
      <c r="E343" s="78">
        <v>8736.18</v>
      </c>
      <c r="F343" s="82">
        <f t="shared" si="9"/>
        <v>0</v>
      </c>
    </row>
    <row r="344" spans="1:6" s="19" customFormat="1" ht="12.75" customHeight="1">
      <c r="A344" s="25" t="s">
        <v>183</v>
      </c>
      <c r="B344" s="65" t="s">
        <v>205</v>
      </c>
      <c r="C344" s="26" t="s">
        <v>632</v>
      </c>
      <c r="D344" s="78">
        <v>39574.48</v>
      </c>
      <c r="E344" s="78">
        <v>39574.48</v>
      </c>
      <c r="F344" s="82">
        <f t="shared" si="9"/>
        <v>0</v>
      </c>
    </row>
    <row r="345" spans="1:6" s="19" customFormat="1" ht="14.25" customHeight="1">
      <c r="A345" s="25" t="s">
        <v>185</v>
      </c>
      <c r="B345" s="65" t="s">
        <v>205</v>
      </c>
      <c r="C345" s="26" t="s">
        <v>633</v>
      </c>
      <c r="D345" s="78">
        <v>1595.4</v>
      </c>
      <c r="E345" s="78">
        <v>1595.4</v>
      </c>
      <c r="F345" s="82">
        <f t="shared" si="9"/>
        <v>0</v>
      </c>
    </row>
    <row r="346" spans="1:6" s="19" customFormat="1" ht="12.75" customHeight="1">
      <c r="A346" s="27" t="s">
        <v>189</v>
      </c>
      <c r="B346" s="64" t="s">
        <v>205</v>
      </c>
      <c r="C346" s="28" t="s">
        <v>634</v>
      </c>
      <c r="D346" s="82">
        <f>SUM(D347:D348)</f>
        <v>138778.56</v>
      </c>
      <c r="E346" s="82">
        <f>SUM(E347:E348)</f>
        <v>138778.56</v>
      </c>
      <c r="F346" s="82">
        <f aca="true" t="shared" si="13" ref="F346:F429">D346-E346</f>
        <v>0</v>
      </c>
    </row>
    <row r="347" spans="1:6" s="19" customFormat="1" ht="14.25" customHeight="1">
      <c r="A347" s="25" t="s">
        <v>190</v>
      </c>
      <c r="B347" s="65" t="s">
        <v>205</v>
      </c>
      <c r="C347" s="26" t="s">
        <v>635</v>
      </c>
      <c r="D347" s="83">
        <v>46208.8</v>
      </c>
      <c r="E347" s="78">
        <v>46208.8</v>
      </c>
      <c r="F347" s="82">
        <f t="shared" si="13"/>
        <v>0</v>
      </c>
    </row>
    <row r="348" spans="1:6" ht="17.25" customHeight="1" thickBot="1">
      <c r="A348" s="96" t="s">
        <v>191</v>
      </c>
      <c r="B348" s="97" t="s">
        <v>205</v>
      </c>
      <c r="C348" s="72" t="s">
        <v>636</v>
      </c>
      <c r="D348" s="222">
        <v>92569.76</v>
      </c>
      <c r="E348" s="87">
        <v>92569.76</v>
      </c>
      <c r="F348" s="88">
        <f t="shared" si="13"/>
        <v>0</v>
      </c>
    </row>
    <row r="349" spans="1:8" ht="25.5" customHeight="1" thickTop="1">
      <c r="A349" s="98" t="s">
        <v>38</v>
      </c>
      <c r="B349" s="99" t="s">
        <v>205</v>
      </c>
      <c r="C349" s="69" t="s">
        <v>37</v>
      </c>
      <c r="D349" s="89">
        <f>D350+D356</f>
        <v>466800</v>
      </c>
      <c r="E349" s="89">
        <f>E350+E356</f>
        <v>451272</v>
      </c>
      <c r="F349" s="90">
        <f t="shared" si="13"/>
        <v>15528</v>
      </c>
      <c r="H349" s="92"/>
    </row>
    <row r="350" spans="1:6" ht="14.25" customHeight="1">
      <c r="A350" s="27" t="s">
        <v>178</v>
      </c>
      <c r="B350" s="64" t="s">
        <v>205</v>
      </c>
      <c r="C350" s="28" t="s">
        <v>347</v>
      </c>
      <c r="D350" s="82">
        <f>D351+D354</f>
        <v>386800</v>
      </c>
      <c r="E350" s="82">
        <f>E351+E354</f>
        <v>371272</v>
      </c>
      <c r="F350" s="82">
        <f t="shared" si="13"/>
        <v>15528</v>
      </c>
    </row>
    <row r="351" spans="1:6" ht="21.75" customHeight="1">
      <c r="A351" s="27" t="s">
        <v>179</v>
      </c>
      <c r="B351" s="64" t="s">
        <v>205</v>
      </c>
      <c r="C351" s="28" t="s">
        <v>348</v>
      </c>
      <c r="D351" s="82">
        <f>D352+D353</f>
        <v>321800</v>
      </c>
      <c r="E351" s="82">
        <f>E352+E353</f>
        <v>321800</v>
      </c>
      <c r="F351" s="82">
        <f t="shared" si="13"/>
        <v>0</v>
      </c>
    </row>
    <row r="352" spans="1:6" ht="12.75" customHeight="1">
      <c r="A352" s="27" t="s">
        <v>80</v>
      </c>
      <c r="B352" s="64" t="s">
        <v>205</v>
      </c>
      <c r="C352" s="28" t="s">
        <v>349</v>
      </c>
      <c r="D352" s="82">
        <f>D363</f>
        <v>247156.78</v>
      </c>
      <c r="E352" s="82">
        <f>E363</f>
        <v>247156.78</v>
      </c>
      <c r="F352" s="82">
        <f t="shared" si="13"/>
        <v>0</v>
      </c>
    </row>
    <row r="353" spans="1:6" ht="12.75" customHeight="1">
      <c r="A353" s="27" t="s">
        <v>172</v>
      </c>
      <c r="B353" s="64" t="s">
        <v>205</v>
      </c>
      <c r="C353" s="28" t="s">
        <v>350</v>
      </c>
      <c r="D353" s="82">
        <f>D365</f>
        <v>74643.22</v>
      </c>
      <c r="E353" s="82">
        <f>E365</f>
        <v>74643.22</v>
      </c>
      <c r="F353" s="82">
        <f t="shared" si="13"/>
        <v>0</v>
      </c>
    </row>
    <row r="354" spans="1:6" ht="12.75" customHeight="1">
      <c r="A354" s="27" t="s">
        <v>181</v>
      </c>
      <c r="B354" s="64" t="s">
        <v>205</v>
      </c>
      <c r="C354" s="28" t="s">
        <v>351</v>
      </c>
      <c r="D354" s="82">
        <f>D355</f>
        <v>65000</v>
      </c>
      <c r="E354" s="82">
        <f>E355</f>
        <v>49472</v>
      </c>
      <c r="F354" s="82">
        <f t="shared" si="13"/>
        <v>15528</v>
      </c>
    </row>
    <row r="355" spans="1:6" ht="12" customHeight="1">
      <c r="A355" s="27" t="s">
        <v>186</v>
      </c>
      <c r="B355" s="64" t="s">
        <v>205</v>
      </c>
      <c r="C355" s="28" t="s">
        <v>352</v>
      </c>
      <c r="D355" s="82">
        <f>D369</f>
        <v>65000</v>
      </c>
      <c r="E355" s="82">
        <f>E378</f>
        <v>49472</v>
      </c>
      <c r="F355" s="82">
        <f t="shared" si="13"/>
        <v>15528</v>
      </c>
    </row>
    <row r="356" spans="1:6" ht="23.25" customHeight="1">
      <c r="A356" s="27" t="s">
        <v>638</v>
      </c>
      <c r="B356" s="64" t="s">
        <v>205</v>
      </c>
      <c r="C356" s="28" t="s">
        <v>639</v>
      </c>
      <c r="D356" s="82">
        <f>D370</f>
        <v>80000</v>
      </c>
      <c r="E356" s="82">
        <f>E370</f>
        <v>80000</v>
      </c>
      <c r="F356" s="82"/>
    </row>
    <row r="357" spans="1:6" ht="17.25" customHeight="1" hidden="1">
      <c r="A357" s="27" t="s">
        <v>189</v>
      </c>
      <c r="B357" s="64" t="s">
        <v>205</v>
      </c>
      <c r="C357" s="28" t="s">
        <v>353</v>
      </c>
      <c r="D357" s="82">
        <f>D358+D359</f>
        <v>30000</v>
      </c>
      <c r="E357" s="82">
        <f>E358+E359</f>
        <v>0</v>
      </c>
      <c r="F357" s="82">
        <f t="shared" si="13"/>
        <v>30000</v>
      </c>
    </row>
    <row r="358" spans="1:6" ht="25.5" customHeight="1" hidden="1">
      <c r="A358" s="27" t="s">
        <v>190</v>
      </c>
      <c r="B358" s="64" t="s">
        <v>205</v>
      </c>
      <c r="C358" s="28" t="s">
        <v>354</v>
      </c>
      <c r="D358" s="82">
        <f>D372</f>
        <v>15000</v>
      </c>
      <c r="E358" s="82">
        <f>E372</f>
        <v>0</v>
      </c>
      <c r="F358" s="82">
        <f t="shared" si="13"/>
        <v>15000</v>
      </c>
    </row>
    <row r="359" spans="1:6" ht="25.5" customHeight="1" hidden="1">
      <c r="A359" s="27" t="s">
        <v>191</v>
      </c>
      <c r="B359" s="64" t="s">
        <v>205</v>
      </c>
      <c r="C359" s="28" t="s">
        <v>355</v>
      </c>
      <c r="D359" s="82">
        <f>D373+D380</f>
        <v>15000</v>
      </c>
      <c r="E359" s="82">
        <f>E373+E380</f>
        <v>0</v>
      </c>
      <c r="F359" s="82">
        <f t="shared" si="13"/>
        <v>15000</v>
      </c>
    </row>
    <row r="360" spans="1:6" ht="17.25" customHeight="1">
      <c r="A360" s="32" t="s">
        <v>344</v>
      </c>
      <c r="B360" s="66" t="s">
        <v>205</v>
      </c>
      <c r="C360" s="22" t="s">
        <v>640</v>
      </c>
      <c r="D360" s="86">
        <f>D361</f>
        <v>321800</v>
      </c>
      <c r="E360" s="86">
        <f>E361</f>
        <v>321800</v>
      </c>
      <c r="F360" s="82">
        <f t="shared" si="13"/>
        <v>0</v>
      </c>
    </row>
    <row r="361" spans="1:6" ht="14.25" customHeight="1">
      <c r="A361" s="125" t="s">
        <v>178</v>
      </c>
      <c r="B361" s="136" t="s">
        <v>205</v>
      </c>
      <c r="C361" s="137" t="s">
        <v>641</v>
      </c>
      <c r="D361" s="82">
        <f>D362</f>
        <v>321800</v>
      </c>
      <c r="E361" s="82">
        <f>E362</f>
        <v>321800</v>
      </c>
      <c r="F361" s="82">
        <f aca="true" t="shared" si="14" ref="F361:F374">D361-E361</f>
        <v>0</v>
      </c>
    </row>
    <row r="362" spans="1:6" ht="21" customHeight="1">
      <c r="A362" s="125" t="s">
        <v>179</v>
      </c>
      <c r="B362" s="136" t="s">
        <v>205</v>
      </c>
      <c r="C362" s="137" t="s">
        <v>642</v>
      </c>
      <c r="D362" s="82">
        <f>SUM(D363:D365)</f>
        <v>321800</v>
      </c>
      <c r="E362" s="82">
        <f>SUM(E363:E365)</f>
        <v>321800</v>
      </c>
      <c r="F362" s="82">
        <f t="shared" si="14"/>
        <v>0</v>
      </c>
    </row>
    <row r="363" spans="1:6" ht="14.25" customHeight="1">
      <c r="A363" s="25" t="s">
        <v>80</v>
      </c>
      <c r="B363" s="65" t="s">
        <v>205</v>
      </c>
      <c r="C363" s="26" t="s">
        <v>643</v>
      </c>
      <c r="D363" s="78">
        <v>247156.78</v>
      </c>
      <c r="E363" s="78">
        <v>247156.78</v>
      </c>
      <c r="F363" s="82">
        <f t="shared" si="14"/>
        <v>0</v>
      </c>
    </row>
    <row r="364" spans="1:6" ht="0.75" customHeight="1" hidden="1">
      <c r="A364" s="25" t="s">
        <v>180</v>
      </c>
      <c r="B364" s="65" t="s">
        <v>205</v>
      </c>
      <c r="C364" s="26" t="s">
        <v>241</v>
      </c>
      <c r="D364" s="78">
        <v>0</v>
      </c>
      <c r="E364" s="78"/>
      <c r="F364" s="82">
        <f t="shared" si="14"/>
        <v>0</v>
      </c>
    </row>
    <row r="365" spans="1:6" ht="12.75" customHeight="1">
      <c r="A365" s="25" t="s">
        <v>172</v>
      </c>
      <c r="B365" s="65" t="s">
        <v>205</v>
      </c>
      <c r="C365" s="26" t="s">
        <v>644</v>
      </c>
      <c r="D365" s="78">
        <v>74643.22</v>
      </c>
      <c r="E365" s="78">
        <v>74643.22</v>
      </c>
      <c r="F365" s="82">
        <f t="shared" si="14"/>
        <v>0</v>
      </c>
    </row>
    <row r="366" spans="1:6" ht="13.5" customHeight="1">
      <c r="A366" s="125" t="s">
        <v>432</v>
      </c>
      <c r="B366" s="136" t="s">
        <v>205</v>
      </c>
      <c r="C366" s="137" t="s">
        <v>431</v>
      </c>
      <c r="D366" s="82">
        <f>D367+D370</f>
        <v>145000</v>
      </c>
      <c r="E366" s="82">
        <f>E367+E370</f>
        <v>129472</v>
      </c>
      <c r="F366" s="82">
        <f t="shared" si="14"/>
        <v>15528</v>
      </c>
    </row>
    <row r="367" spans="1:6" ht="12.75" customHeight="1">
      <c r="A367" s="25" t="s">
        <v>178</v>
      </c>
      <c r="B367" s="65" t="s">
        <v>205</v>
      </c>
      <c r="C367" s="26" t="s">
        <v>433</v>
      </c>
      <c r="D367" s="78">
        <f>D368+D369</f>
        <v>65000</v>
      </c>
      <c r="E367" s="78">
        <f>E368+E369</f>
        <v>49472</v>
      </c>
      <c r="F367" s="82">
        <f t="shared" si="14"/>
        <v>15528</v>
      </c>
    </row>
    <row r="368" spans="1:6" ht="14.25" customHeight="1">
      <c r="A368" s="25" t="s">
        <v>185</v>
      </c>
      <c r="B368" s="65" t="s">
        <v>205</v>
      </c>
      <c r="C368" s="26" t="s">
        <v>645</v>
      </c>
      <c r="D368" s="78">
        <v>0</v>
      </c>
      <c r="E368" s="78">
        <v>0</v>
      </c>
      <c r="F368" s="82">
        <f t="shared" si="14"/>
        <v>0</v>
      </c>
    </row>
    <row r="369" spans="1:6" ht="14.25" customHeight="1">
      <c r="A369" s="25" t="s">
        <v>186</v>
      </c>
      <c r="B369" s="65" t="s">
        <v>205</v>
      </c>
      <c r="C369" s="26" t="s">
        <v>434</v>
      </c>
      <c r="D369" s="78">
        <f>D373+D378</f>
        <v>65000</v>
      </c>
      <c r="E369" s="78">
        <f>E373+E378</f>
        <v>49472</v>
      </c>
      <c r="F369" s="82">
        <f t="shared" si="14"/>
        <v>15528</v>
      </c>
    </row>
    <row r="370" spans="1:6" ht="24" customHeight="1">
      <c r="A370" s="25" t="s">
        <v>638</v>
      </c>
      <c r="B370" s="65" t="s">
        <v>205</v>
      </c>
      <c r="C370" s="26" t="s">
        <v>646</v>
      </c>
      <c r="D370" s="78">
        <f>D374</f>
        <v>80000</v>
      </c>
      <c r="E370" s="78">
        <f>E374</f>
        <v>80000</v>
      </c>
      <c r="F370" s="82">
        <f t="shared" si="14"/>
        <v>0</v>
      </c>
    </row>
    <row r="371" spans="1:6" ht="25.5" customHeight="1">
      <c r="A371" s="27" t="s">
        <v>435</v>
      </c>
      <c r="B371" s="64" t="s">
        <v>205</v>
      </c>
      <c r="C371" s="28" t="s">
        <v>866</v>
      </c>
      <c r="D371" s="82">
        <f>D372+D374</f>
        <v>95000</v>
      </c>
      <c r="E371" s="82">
        <f>E372+E374</f>
        <v>80000</v>
      </c>
      <c r="F371" s="82">
        <f t="shared" si="14"/>
        <v>15000</v>
      </c>
    </row>
    <row r="372" spans="1:6" ht="12.75" customHeight="1">
      <c r="A372" s="25" t="s">
        <v>178</v>
      </c>
      <c r="B372" s="65" t="s">
        <v>205</v>
      </c>
      <c r="C372" s="26" t="s">
        <v>647</v>
      </c>
      <c r="D372" s="78">
        <f>D373</f>
        <v>15000</v>
      </c>
      <c r="E372" s="78">
        <f>E373</f>
        <v>0</v>
      </c>
      <c r="F372" s="82">
        <f t="shared" si="14"/>
        <v>15000</v>
      </c>
    </row>
    <row r="373" spans="1:6" s="19" customFormat="1" ht="14.25" customHeight="1">
      <c r="A373" s="25" t="s">
        <v>186</v>
      </c>
      <c r="B373" s="65" t="s">
        <v>205</v>
      </c>
      <c r="C373" s="26" t="s">
        <v>648</v>
      </c>
      <c r="D373" s="78">
        <v>15000</v>
      </c>
      <c r="E373" s="78">
        <v>0</v>
      </c>
      <c r="F373" s="82">
        <f t="shared" si="14"/>
        <v>15000</v>
      </c>
    </row>
    <row r="374" spans="1:6" s="19" customFormat="1" ht="24.75" customHeight="1">
      <c r="A374" s="25" t="s">
        <v>638</v>
      </c>
      <c r="B374" s="65" t="s">
        <v>205</v>
      </c>
      <c r="C374" s="26" t="s">
        <v>649</v>
      </c>
      <c r="D374" s="78">
        <v>80000</v>
      </c>
      <c r="E374" s="78">
        <v>80000</v>
      </c>
      <c r="F374" s="82">
        <f t="shared" si="14"/>
        <v>0</v>
      </c>
    </row>
    <row r="375" spans="1:6" s="19" customFormat="1" ht="38.25" customHeight="1">
      <c r="A375" s="27" t="s">
        <v>440</v>
      </c>
      <c r="B375" s="28" t="s">
        <v>205</v>
      </c>
      <c r="C375" s="103" t="s">
        <v>650</v>
      </c>
      <c r="D375" s="82">
        <f>D376+D379</f>
        <v>50000</v>
      </c>
      <c r="E375" s="82">
        <f>E376+E379</f>
        <v>49472</v>
      </c>
      <c r="F375" s="82">
        <f t="shared" si="13"/>
        <v>528</v>
      </c>
    </row>
    <row r="376" spans="1:6" s="19" customFormat="1" ht="15" customHeight="1">
      <c r="A376" s="25" t="s">
        <v>178</v>
      </c>
      <c r="B376" s="65" t="s">
        <v>205</v>
      </c>
      <c r="C376" s="26" t="s">
        <v>651</v>
      </c>
      <c r="D376" s="78">
        <f>D377</f>
        <v>50000</v>
      </c>
      <c r="E376" s="78">
        <f>E377</f>
        <v>49472</v>
      </c>
      <c r="F376" s="82">
        <f t="shared" si="13"/>
        <v>528</v>
      </c>
    </row>
    <row r="377" spans="1:6" s="19" customFormat="1" ht="15.75" customHeight="1">
      <c r="A377" s="25" t="s">
        <v>652</v>
      </c>
      <c r="B377" s="65" t="s">
        <v>205</v>
      </c>
      <c r="C377" s="26" t="s">
        <v>653</v>
      </c>
      <c r="D377" s="78">
        <f>D378</f>
        <v>50000</v>
      </c>
      <c r="E377" s="78">
        <f>E378</f>
        <v>49472</v>
      </c>
      <c r="F377" s="82">
        <f t="shared" si="13"/>
        <v>528</v>
      </c>
    </row>
    <row r="378" spans="1:6" s="19" customFormat="1" ht="14.25" customHeight="1">
      <c r="A378" s="25" t="s">
        <v>186</v>
      </c>
      <c r="B378" s="65" t="s">
        <v>205</v>
      </c>
      <c r="C378" s="26" t="s">
        <v>654</v>
      </c>
      <c r="D378" s="78">
        <v>50000</v>
      </c>
      <c r="E378" s="78">
        <v>49472</v>
      </c>
      <c r="F378" s="82">
        <f t="shared" si="13"/>
        <v>528</v>
      </c>
    </row>
    <row r="379" spans="1:6" s="19" customFormat="1" ht="14.25" customHeight="1" hidden="1">
      <c r="A379" s="27" t="s">
        <v>189</v>
      </c>
      <c r="B379" s="64" t="s">
        <v>205</v>
      </c>
      <c r="C379" s="28" t="s">
        <v>422</v>
      </c>
      <c r="D379" s="78">
        <f>D380</f>
        <v>0</v>
      </c>
      <c r="E379" s="78">
        <f>E380</f>
        <v>0</v>
      </c>
      <c r="F379" s="82">
        <f t="shared" si="13"/>
        <v>0</v>
      </c>
    </row>
    <row r="380" spans="1:6" s="19" customFormat="1" ht="16.5" customHeight="1" hidden="1">
      <c r="A380" s="102" t="s">
        <v>191</v>
      </c>
      <c r="B380" s="111" t="s">
        <v>205</v>
      </c>
      <c r="C380" s="26" t="s">
        <v>421</v>
      </c>
      <c r="D380" s="78"/>
      <c r="E380" s="78"/>
      <c r="F380" s="82">
        <f t="shared" si="13"/>
        <v>0</v>
      </c>
    </row>
    <row r="381" spans="1:6" s="19" customFormat="1" ht="12.75">
      <c r="A381" s="40" t="s">
        <v>41</v>
      </c>
      <c r="B381" s="37" t="s">
        <v>205</v>
      </c>
      <c r="C381" s="67" t="s">
        <v>43</v>
      </c>
      <c r="D381" s="84">
        <f>D382</f>
        <v>12160305</v>
      </c>
      <c r="E381" s="84">
        <f>E382</f>
        <v>11451949.5</v>
      </c>
      <c r="F381" s="82">
        <f t="shared" si="13"/>
        <v>708355.5</v>
      </c>
    </row>
    <row r="382" spans="1:6" s="19" customFormat="1" ht="15.75" customHeight="1">
      <c r="A382" s="27" t="s">
        <v>178</v>
      </c>
      <c r="B382" s="64" t="s">
        <v>205</v>
      </c>
      <c r="C382" s="28" t="s">
        <v>42</v>
      </c>
      <c r="D382" s="82">
        <f>D383+D386+D389</f>
        <v>12160305</v>
      </c>
      <c r="E382" s="82">
        <f>E383+E386+E389</f>
        <v>11451949.5</v>
      </c>
      <c r="F382" s="82">
        <f t="shared" si="13"/>
        <v>708355.5</v>
      </c>
    </row>
    <row r="383" spans="1:6" s="19" customFormat="1" ht="15.75" customHeight="1">
      <c r="A383" s="27" t="s">
        <v>181</v>
      </c>
      <c r="B383" s="64" t="s">
        <v>205</v>
      </c>
      <c r="C383" s="28" t="s">
        <v>44</v>
      </c>
      <c r="D383" s="82">
        <f>D384+D385</f>
        <v>11990305</v>
      </c>
      <c r="E383" s="82">
        <f>E384+E385</f>
        <v>11297665.5</v>
      </c>
      <c r="F383" s="82">
        <f t="shared" si="13"/>
        <v>692639.5</v>
      </c>
    </row>
    <row r="384" spans="1:6" s="19" customFormat="1" ht="12.75" customHeight="1">
      <c r="A384" s="27" t="s">
        <v>185</v>
      </c>
      <c r="B384" s="64" t="s">
        <v>205</v>
      </c>
      <c r="C384" s="28" t="s">
        <v>45</v>
      </c>
      <c r="D384" s="82">
        <f>D410+D413+D416+D419</f>
        <v>11688905</v>
      </c>
      <c r="E384" s="82">
        <f>E410+E413+E416+E419</f>
        <v>10994500.74</v>
      </c>
      <c r="F384" s="82">
        <f t="shared" si="13"/>
        <v>694404.26</v>
      </c>
    </row>
    <row r="385" spans="1:6" s="19" customFormat="1" ht="12.75">
      <c r="A385" s="27" t="s">
        <v>186</v>
      </c>
      <c r="B385" s="64" t="s">
        <v>205</v>
      </c>
      <c r="C385" s="28" t="s">
        <v>46</v>
      </c>
      <c r="D385" s="82">
        <f>D396+D423+D417</f>
        <v>301400</v>
      </c>
      <c r="E385" s="82">
        <f>E396+E423+E417</f>
        <v>303164.76</v>
      </c>
      <c r="F385" s="82">
        <f t="shared" si="13"/>
        <v>-1764.76</v>
      </c>
    </row>
    <row r="386" spans="1:6" s="19" customFormat="1" ht="22.5">
      <c r="A386" s="27" t="s">
        <v>39</v>
      </c>
      <c r="B386" s="64" t="s">
        <v>205</v>
      </c>
      <c r="C386" s="28" t="s">
        <v>47</v>
      </c>
      <c r="D386" s="82">
        <f>D387+D388</f>
        <v>155000</v>
      </c>
      <c r="E386" s="82">
        <f>E387</f>
        <v>150000</v>
      </c>
      <c r="F386" s="82">
        <f t="shared" si="13"/>
        <v>5000</v>
      </c>
    </row>
    <row r="387" spans="1:6" s="19" customFormat="1" ht="21.75" customHeight="1">
      <c r="A387" s="27" t="s">
        <v>40</v>
      </c>
      <c r="B387" s="64" t="s">
        <v>205</v>
      </c>
      <c r="C387" s="28" t="s">
        <v>48</v>
      </c>
      <c r="D387" s="82">
        <f>D405</f>
        <v>150000</v>
      </c>
      <c r="E387" s="82">
        <f>E405</f>
        <v>150000</v>
      </c>
      <c r="F387" s="82">
        <f t="shared" si="13"/>
        <v>0</v>
      </c>
    </row>
    <row r="388" spans="1:6" s="19" customFormat="1" ht="21.75" customHeight="1">
      <c r="A388" s="27" t="s">
        <v>655</v>
      </c>
      <c r="B388" s="64" t="s">
        <v>205</v>
      </c>
      <c r="C388" s="28" t="s">
        <v>656</v>
      </c>
      <c r="D388" s="82">
        <f>D398+D440</f>
        <v>5000</v>
      </c>
      <c r="E388" s="82"/>
      <c r="F388" s="82"/>
    </row>
    <row r="389" spans="1:6" s="19" customFormat="1" ht="14.25" customHeight="1">
      <c r="A389" s="27" t="s">
        <v>171</v>
      </c>
      <c r="B389" s="64" t="s">
        <v>205</v>
      </c>
      <c r="C389" s="28" t="s">
        <v>55</v>
      </c>
      <c r="D389" s="82">
        <f>D397+D425</f>
        <v>15000</v>
      </c>
      <c r="E389" s="82">
        <f>E425</f>
        <v>4284</v>
      </c>
      <c r="F389" s="82">
        <f t="shared" si="13"/>
        <v>10716</v>
      </c>
    </row>
    <row r="390" spans="1:6" s="19" customFormat="1" ht="25.5">
      <c r="A390" s="138" t="s">
        <v>657</v>
      </c>
      <c r="B390" s="66" t="s">
        <v>205</v>
      </c>
      <c r="C390" s="70" t="s">
        <v>658</v>
      </c>
      <c r="D390" s="86">
        <f>D391</f>
        <v>8000</v>
      </c>
      <c r="E390" s="86">
        <f>E391</f>
        <v>0</v>
      </c>
      <c r="F390" s="82">
        <f aca="true" t="shared" si="15" ref="F390:F398">D390-E390</f>
        <v>8000</v>
      </c>
    </row>
    <row r="391" spans="1:6" s="19" customFormat="1" ht="15.75" customHeight="1">
      <c r="A391" s="27" t="s">
        <v>178</v>
      </c>
      <c r="B391" s="64" t="s">
        <v>205</v>
      </c>
      <c r="C391" s="28" t="s">
        <v>659</v>
      </c>
      <c r="D391" s="82">
        <f>D395+D398</f>
        <v>8000</v>
      </c>
      <c r="E391" s="82">
        <f>E395+E398</f>
        <v>0</v>
      </c>
      <c r="F391" s="82">
        <f t="shared" si="15"/>
        <v>8000</v>
      </c>
    </row>
    <row r="392" spans="1:6" s="19" customFormat="1" ht="15" customHeight="1" hidden="1">
      <c r="A392" s="27" t="s">
        <v>181</v>
      </c>
      <c r="B392" s="64" t="s">
        <v>205</v>
      </c>
      <c r="C392" s="28" t="s">
        <v>52</v>
      </c>
      <c r="D392" s="82">
        <f>SUM(D393:D394)</f>
        <v>0</v>
      </c>
      <c r="E392" s="82">
        <f>SUM(E393:E394)</f>
        <v>0</v>
      </c>
      <c r="F392" s="82">
        <f t="shared" si="15"/>
        <v>0</v>
      </c>
    </row>
    <row r="393" spans="1:6" s="19" customFormat="1" ht="15" customHeight="1" hidden="1">
      <c r="A393" s="27" t="s">
        <v>185</v>
      </c>
      <c r="B393" s="64" t="s">
        <v>205</v>
      </c>
      <c r="C393" s="28" t="s">
        <v>50</v>
      </c>
      <c r="D393" s="78"/>
      <c r="E393" s="78"/>
      <c r="F393" s="82">
        <f t="shared" si="15"/>
        <v>0</v>
      </c>
    </row>
    <row r="394" spans="1:6" ht="17.25" customHeight="1" hidden="1">
      <c r="A394" s="27" t="s">
        <v>186</v>
      </c>
      <c r="B394" s="64" t="s">
        <v>205</v>
      </c>
      <c r="C394" s="28" t="s">
        <v>51</v>
      </c>
      <c r="D394" s="78"/>
      <c r="E394" s="78"/>
      <c r="F394" s="82">
        <f t="shared" si="15"/>
        <v>0</v>
      </c>
    </row>
    <row r="395" spans="1:6" ht="13.5" customHeight="1">
      <c r="A395" s="27" t="s">
        <v>660</v>
      </c>
      <c r="B395" s="64" t="s">
        <v>205</v>
      </c>
      <c r="C395" s="28" t="s">
        <v>661</v>
      </c>
      <c r="D395" s="82">
        <f>SUM(D396:D397)</f>
        <v>8000</v>
      </c>
      <c r="E395" s="82">
        <f>SUM(E396:E397)</f>
        <v>0</v>
      </c>
      <c r="F395" s="82">
        <f t="shared" si="15"/>
        <v>8000</v>
      </c>
    </row>
    <row r="396" spans="1:6" ht="15" customHeight="1">
      <c r="A396" s="25" t="s">
        <v>186</v>
      </c>
      <c r="B396" s="65" t="s">
        <v>205</v>
      </c>
      <c r="C396" s="26" t="s">
        <v>662</v>
      </c>
      <c r="D396" s="78">
        <v>3000</v>
      </c>
      <c r="E396" s="78"/>
      <c r="F396" s="82">
        <f t="shared" si="15"/>
        <v>3000</v>
      </c>
    </row>
    <row r="397" spans="1:6" ht="15" customHeight="1">
      <c r="A397" s="25" t="s">
        <v>578</v>
      </c>
      <c r="B397" s="65" t="s">
        <v>205</v>
      </c>
      <c r="C397" s="26" t="s">
        <v>664</v>
      </c>
      <c r="D397" s="78">
        <v>5000</v>
      </c>
      <c r="E397" s="78"/>
      <c r="F397" s="82">
        <f t="shared" si="15"/>
        <v>5000</v>
      </c>
    </row>
    <row r="398" spans="1:6" ht="22.5" customHeight="1">
      <c r="A398" s="25" t="s">
        <v>655</v>
      </c>
      <c r="B398" s="65" t="s">
        <v>205</v>
      </c>
      <c r="C398" s="26" t="s">
        <v>663</v>
      </c>
      <c r="D398" s="78">
        <v>0</v>
      </c>
      <c r="E398" s="78"/>
      <c r="F398" s="82">
        <f t="shared" si="15"/>
        <v>0</v>
      </c>
    </row>
    <row r="399" spans="1:6" s="19" customFormat="1" ht="12.75">
      <c r="A399" s="138" t="s">
        <v>206</v>
      </c>
      <c r="B399" s="66" t="s">
        <v>205</v>
      </c>
      <c r="C399" s="70" t="s">
        <v>665</v>
      </c>
      <c r="D399" s="86">
        <f>D400</f>
        <v>150000</v>
      </c>
      <c r="E399" s="86">
        <f>E400</f>
        <v>150000</v>
      </c>
      <c r="F399" s="82">
        <f t="shared" si="13"/>
        <v>0</v>
      </c>
    </row>
    <row r="400" spans="1:6" s="19" customFormat="1" ht="15.75" customHeight="1">
      <c r="A400" s="27" t="s">
        <v>178</v>
      </c>
      <c r="B400" s="64" t="s">
        <v>205</v>
      </c>
      <c r="C400" s="28" t="s">
        <v>666</v>
      </c>
      <c r="D400" s="82">
        <f>D401+D404</f>
        <v>150000</v>
      </c>
      <c r="E400" s="82">
        <f>E401+E404</f>
        <v>150000</v>
      </c>
      <c r="F400" s="82">
        <f t="shared" si="13"/>
        <v>0</v>
      </c>
    </row>
    <row r="401" spans="1:6" s="19" customFormat="1" ht="15" customHeight="1" hidden="1">
      <c r="A401" s="27" t="s">
        <v>181</v>
      </c>
      <c r="B401" s="64" t="s">
        <v>205</v>
      </c>
      <c r="C401" s="28" t="s">
        <v>52</v>
      </c>
      <c r="D401" s="82">
        <f>SUM(D402:D403)</f>
        <v>0</v>
      </c>
      <c r="E401" s="82">
        <f>SUM(E402:E403)</f>
        <v>0</v>
      </c>
      <c r="F401" s="82">
        <f t="shared" si="13"/>
        <v>0</v>
      </c>
    </row>
    <row r="402" spans="1:6" s="19" customFormat="1" ht="15" customHeight="1" hidden="1">
      <c r="A402" s="27" t="s">
        <v>185</v>
      </c>
      <c r="B402" s="64" t="s">
        <v>205</v>
      </c>
      <c r="C402" s="28" t="s">
        <v>50</v>
      </c>
      <c r="D402" s="78"/>
      <c r="E402" s="78"/>
      <c r="F402" s="82">
        <f t="shared" si="13"/>
        <v>0</v>
      </c>
    </row>
    <row r="403" spans="1:6" ht="17.25" customHeight="1" hidden="1">
      <c r="A403" s="27" t="s">
        <v>186</v>
      </c>
      <c r="B403" s="64" t="s">
        <v>205</v>
      </c>
      <c r="C403" s="28" t="s">
        <v>51</v>
      </c>
      <c r="D403" s="78"/>
      <c r="E403" s="78"/>
      <c r="F403" s="82">
        <f t="shared" si="13"/>
        <v>0</v>
      </c>
    </row>
    <row r="404" spans="1:6" ht="20.25" customHeight="1">
      <c r="A404" s="27" t="s">
        <v>39</v>
      </c>
      <c r="B404" s="64" t="s">
        <v>205</v>
      </c>
      <c r="C404" s="28" t="s">
        <v>667</v>
      </c>
      <c r="D404" s="82">
        <f>SUM(D405:D405)</f>
        <v>150000</v>
      </c>
      <c r="E404" s="82">
        <f>SUM(E405:E405)</f>
        <v>150000</v>
      </c>
      <c r="F404" s="82">
        <f t="shared" si="13"/>
        <v>0</v>
      </c>
    </row>
    <row r="405" spans="1:6" ht="24.75" customHeight="1">
      <c r="A405" s="25" t="s">
        <v>40</v>
      </c>
      <c r="B405" s="65" t="s">
        <v>205</v>
      </c>
      <c r="C405" s="26" t="s">
        <v>668</v>
      </c>
      <c r="D405" s="78">
        <v>150000</v>
      </c>
      <c r="E405" s="78">
        <v>150000</v>
      </c>
      <c r="F405" s="82">
        <f t="shared" si="13"/>
        <v>0</v>
      </c>
    </row>
    <row r="406" spans="1:6" s="19" customFormat="1" ht="12" customHeight="1">
      <c r="A406" s="138" t="s">
        <v>345</v>
      </c>
      <c r="B406" s="66" t="s">
        <v>205</v>
      </c>
      <c r="C406" s="70" t="s">
        <v>463</v>
      </c>
      <c r="D406" s="86">
        <f>D407</f>
        <v>11844305</v>
      </c>
      <c r="E406" s="86">
        <f>E407</f>
        <v>11149900.74</v>
      </c>
      <c r="F406" s="82">
        <f>D406-E406</f>
        <v>694404.26</v>
      </c>
    </row>
    <row r="407" spans="1:6" s="19" customFormat="1" ht="37.5" customHeight="1">
      <c r="A407" s="27" t="s">
        <v>669</v>
      </c>
      <c r="B407" s="64" t="s">
        <v>205</v>
      </c>
      <c r="C407" s="28" t="s">
        <v>843</v>
      </c>
      <c r="D407" s="82">
        <f>D408+D411+D414+D418</f>
        <v>11844305</v>
      </c>
      <c r="E407" s="82">
        <f>E408+E411+E414+E418</f>
        <v>11149900.74</v>
      </c>
      <c r="F407" s="82">
        <f aca="true" t="shared" si="16" ref="F407:F413">D407-E407</f>
        <v>694404.26</v>
      </c>
    </row>
    <row r="408" spans="1:6" s="19" customFormat="1" ht="44.25" customHeight="1">
      <c r="A408" s="27" t="s">
        <v>670</v>
      </c>
      <c r="B408" s="64" t="s">
        <v>205</v>
      </c>
      <c r="C408" s="28" t="s">
        <v>671</v>
      </c>
      <c r="D408" s="82">
        <f>D409</f>
        <v>2885850</v>
      </c>
      <c r="E408" s="82">
        <f>E409</f>
        <v>2885849.45</v>
      </c>
      <c r="F408" s="82">
        <f t="shared" si="16"/>
        <v>0.55</v>
      </c>
    </row>
    <row r="409" spans="1:6" s="19" customFormat="1" ht="15" customHeight="1">
      <c r="A409" s="25" t="s">
        <v>181</v>
      </c>
      <c r="B409" s="65" t="s">
        <v>205</v>
      </c>
      <c r="C409" s="26" t="s">
        <v>672</v>
      </c>
      <c r="D409" s="83">
        <f>D410</f>
        <v>2885850</v>
      </c>
      <c r="E409" s="83">
        <f>E410</f>
        <v>2885849.45</v>
      </c>
      <c r="F409" s="82"/>
    </row>
    <row r="410" spans="1:6" s="19" customFormat="1" ht="15" customHeight="1">
      <c r="A410" s="25" t="s">
        <v>185</v>
      </c>
      <c r="B410" s="65" t="s">
        <v>205</v>
      </c>
      <c r="C410" s="26" t="s">
        <v>673</v>
      </c>
      <c r="D410" s="78">
        <f>2884243+1607</f>
        <v>2885850</v>
      </c>
      <c r="E410" s="78">
        <v>2885849.45</v>
      </c>
      <c r="F410" s="82">
        <f t="shared" si="16"/>
        <v>0.55</v>
      </c>
    </row>
    <row r="411" spans="1:6" ht="63.75">
      <c r="A411" s="191" t="s">
        <v>674</v>
      </c>
      <c r="B411" s="177" t="s">
        <v>205</v>
      </c>
      <c r="C411" s="178" t="s">
        <v>675</v>
      </c>
      <c r="D411" s="192">
        <f>D412</f>
        <v>2544407</v>
      </c>
      <c r="E411" s="192">
        <f>E412</f>
        <v>2544406.04</v>
      </c>
      <c r="F411" s="179">
        <f t="shared" si="16"/>
        <v>0.96</v>
      </c>
    </row>
    <row r="412" spans="1:6" ht="12.75">
      <c r="A412" s="25" t="s">
        <v>181</v>
      </c>
      <c r="B412" s="171" t="s">
        <v>205</v>
      </c>
      <c r="C412" s="172" t="s">
        <v>676</v>
      </c>
      <c r="D412" s="173">
        <f>D413</f>
        <v>2544407</v>
      </c>
      <c r="E412" s="173">
        <f>E413</f>
        <v>2544406.04</v>
      </c>
      <c r="F412" s="179">
        <f t="shared" si="16"/>
        <v>0.96</v>
      </c>
    </row>
    <row r="413" spans="1:6" ht="12.75">
      <c r="A413" s="25" t="s">
        <v>185</v>
      </c>
      <c r="B413" s="171" t="s">
        <v>205</v>
      </c>
      <c r="C413" s="172" t="s">
        <v>677</v>
      </c>
      <c r="D413" s="173">
        <v>2544407</v>
      </c>
      <c r="E413" s="173">
        <v>2544406.04</v>
      </c>
      <c r="F413" s="179">
        <f t="shared" si="16"/>
        <v>0.96</v>
      </c>
    </row>
    <row r="414" spans="1:6" ht="51" customHeight="1">
      <c r="A414" s="191" t="s">
        <v>678</v>
      </c>
      <c r="B414" s="177" t="s">
        <v>205</v>
      </c>
      <c r="C414" s="178" t="s">
        <v>680</v>
      </c>
      <c r="D414" s="179">
        <f>D415</f>
        <v>2090428</v>
      </c>
      <c r="E414" s="179">
        <f>E415</f>
        <v>1557950</v>
      </c>
      <c r="F414" s="179">
        <f t="shared" si="13"/>
        <v>532478</v>
      </c>
    </row>
    <row r="415" spans="1:6" ht="12" customHeight="1">
      <c r="A415" s="25" t="s">
        <v>181</v>
      </c>
      <c r="B415" s="65" t="s">
        <v>205</v>
      </c>
      <c r="C415" s="26" t="s">
        <v>679</v>
      </c>
      <c r="D415" s="83">
        <f>D416+D417</f>
        <v>2090428</v>
      </c>
      <c r="E415" s="83">
        <f>E416+E417</f>
        <v>1557950</v>
      </c>
      <c r="F415" s="83">
        <f>F416+F417</f>
        <v>532478</v>
      </c>
    </row>
    <row r="416" spans="1:6" ht="12" customHeight="1">
      <c r="A416" s="25" t="s">
        <v>185</v>
      </c>
      <c r="B416" s="65" t="s">
        <v>205</v>
      </c>
      <c r="C416" s="26" t="s">
        <v>681</v>
      </c>
      <c r="D416" s="83">
        <v>1935028</v>
      </c>
      <c r="E416" s="83">
        <v>1402550</v>
      </c>
      <c r="F416" s="179">
        <f t="shared" si="13"/>
        <v>532478</v>
      </c>
    </row>
    <row r="417" spans="1:6" ht="12" customHeight="1">
      <c r="A417" s="102" t="s">
        <v>869</v>
      </c>
      <c r="B417" s="65" t="s">
        <v>205</v>
      </c>
      <c r="C417" s="26" t="s">
        <v>868</v>
      </c>
      <c r="D417" s="83">
        <v>155400</v>
      </c>
      <c r="E417" s="83">
        <v>155400</v>
      </c>
      <c r="F417" s="179">
        <f t="shared" si="13"/>
        <v>0</v>
      </c>
    </row>
    <row r="418" spans="1:6" ht="80.25" customHeight="1">
      <c r="A418" s="194" t="s">
        <v>842</v>
      </c>
      <c r="B418" s="177" t="s">
        <v>205</v>
      </c>
      <c r="C418" s="178" t="s">
        <v>898</v>
      </c>
      <c r="D418" s="179">
        <f>D419</f>
        <v>4323620</v>
      </c>
      <c r="E418" s="179">
        <f>E419</f>
        <v>4161695.25</v>
      </c>
      <c r="F418" s="179">
        <f aca="true" t="shared" si="17" ref="F418:F425">D418-E418</f>
        <v>161924.75</v>
      </c>
    </row>
    <row r="419" spans="1:6" ht="15.75" customHeight="1">
      <c r="A419" s="102" t="s">
        <v>185</v>
      </c>
      <c r="B419" s="65" t="s">
        <v>205</v>
      </c>
      <c r="C419" s="26" t="s">
        <v>897</v>
      </c>
      <c r="D419" s="83">
        <v>4323620</v>
      </c>
      <c r="E419" s="83">
        <v>4161695.25</v>
      </c>
      <c r="F419" s="179">
        <f t="shared" si="17"/>
        <v>161924.75</v>
      </c>
    </row>
    <row r="420" spans="1:6" s="19" customFormat="1" ht="23.25" customHeight="1">
      <c r="A420" s="31" t="s">
        <v>54</v>
      </c>
      <c r="B420" s="66" t="s">
        <v>205</v>
      </c>
      <c r="C420" s="70" t="s">
        <v>53</v>
      </c>
      <c r="D420" s="86">
        <f>D421</f>
        <v>158000</v>
      </c>
      <c r="E420" s="86">
        <f>E421</f>
        <v>152048.76</v>
      </c>
      <c r="F420" s="82">
        <f t="shared" si="17"/>
        <v>5951.24</v>
      </c>
    </row>
    <row r="421" spans="1:6" s="19" customFormat="1" ht="13.5" customHeight="1">
      <c r="A421" s="27" t="s">
        <v>178</v>
      </c>
      <c r="B421" s="64" t="s">
        <v>205</v>
      </c>
      <c r="C421" s="28" t="s">
        <v>56</v>
      </c>
      <c r="D421" s="82">
        <f>D422+D425+D424</f>
        <v>158000</v>
      </c>
      <c r="E421" s="82">
        <f>E422+E425</f>
        <v>152048.76</v>
      </c>
      <c r="F421" s="82">
        <f t="shared" si="17"/>
        <v>5951.24</v>
      </c>
    </row>
    <row r="422" spans="1:6" s="19" customFormat="1" ht="13.5" customHeight="1">
      <c r="A422" s="27" t="s">
        <v>181</v>
      </c>
      <c r="B422" s="64" t="s">
        <v>205</v>
      </c>
      <c r="C422" s="28" t="s">
        <v>57</v>
      </c>
      <c r="D422" s="82">
        <f>SUM(D423:D423)</f>
        <v>143000</v>
      </c>
      <c r="E422" s="82">
        <f>SUM(E423:E423)</f>
        <v>147764.76</v>
      </c>
      <c r="F422" s="82">
        <f t="shared" si="17"/>
        <v>-4764.76</v>
      </c>
    </row>
    <row r="423" spans="1:6" s="19" customFormat="1" ht="12.75" customHeight="1">
      <c r="A423" s="27" t="s">
        <v>186</v>
      </c>
      <c r="B423" s="64" t="s">
        <v>205</v>
      </c>
      <c r="C423" s="28" t="s">
        <v>58</v>
      </c>
      <c r="D423" s="82">
        <f>D430</f>
        <v>143000</v>
      </c>
      <c r="E423" s="82">
        <f>E430+E439</f>
        <v>147764.76</v>
      </c>
      <c r="F423" s="82">
        <f t="shared" si="17"/>
        <v>-4764.76</v>
      </c>
    </row>
    <row r="424" spans="1:6" s="19" customFormat="1" ht="37.5" customHeight="1">
      <c r="A424" s="27" t="s">
        <v>325</v>
      </c>
      <c r="B424" s="64" t="s">
        <v>205</v>
      </c>
      <c r="C424" s="28" t="s">
        <v>894</v>
      </c>
      <c r="D424" s="82">
        <f>D440</f>
        <v>5000</v>
      </c>
      <c r="E424" s="82"/>
      <c r="F424" s="82"/>
    </row>
    <row r="425" spans="1:6" s="19" customFormat="1" ht="11.25" customHeight="1">
      <c r="A425" s="27" t="s">
        <v>171</v>
      </c>
      <c r="B425" s="64" t="s">
        <v>205</v>
      </c>
      <c r="C425" s="28" t="s">
        <v>59</v>
      </c>
      <c r="D425" s="82">
        <f>D439+D443</f>
        <v>10000</v>
      </c>
      <c r="E425" s="82">
        <f>E443</f>
        <v>4284</v>
      </c>
      <c r="F425" s="82">
        <f t="shared" si="17"/>
        <v>5716</v>
      </c>
    </row>
    <row r="426" spans="1:6" s="19" customFormat="1" ht="37.5" customHeight="1">
      <c r="A426" s="33" t="s">
        <v>682</v>
      </c>
      <c r="B426" s="24" t="s">
        <v>205</v>
      </c>
      <c r="C426" s="24" t="s">
        <v>683</v>
      </c>
      <c r="D426" s="85">
        <f>D427</f>
        <v>143000</v>
      </c>
      <c r="E426" s="85">
        <f>E427</f>
        <v>142048.76</v>
      </c>
      <c r="F426" s="82">
        <f t="shared" si="13"/>
        <v>951.24</v>
      </c>
    </row>
    <row r="427" spans="1:6" s="19" customFormat="1" ht="12" customHeight="1">
      <c r="A427" s="25" t="s">
        <v>178</v>
      </c>
      <c r="B427" s="65" t="s">
        <v>205</v>
      </c>
      <c r="C427" s="26" t="s">
        <v>684</v>
      </c>
      <c r="D427" s="83">
        <f>D428+D431+D434</f>
        <v>143000</v>
      </c>
      <c r="E427" s="83">
        <f>E428+E431+E434</f>
        <v>142048.76</v>
      </c>
      <c r="F427" s="179">
        <f t="shared" si="13"/>
        <v>951.24</v>
      </c>
    </row>
    <row r="428" spans="1:6" s="19" customFormat="1" ht="12" customHeight="1">
      <c r="A428" s="25" t="s">
        <v>181</v>
      </c>
      <c r="B428" s="65" t="s">
        <v>205</v>
      </c>
      <c r="C428" s="26" t="s">
        <v>685</v>
      </c>
      <c r="D428" s="83">
        <f>SUM(D429:D430)</f>
        <v>143000</v>
      </c>
      <c r="E428" s="83">
        <f>SUM(E429:E430)</f>
        <v>142048.76</v>
      </c>
      <c r="F428" s="179">
        <f t="shared" si="13"/>
        <v>951.24</v>
      </c>
    </row>
    <row r="429" spans="1:6" s="19" customFormat="1" ht="15.75" customHeight="1" hidden="1">
      <c r="A429" s="25" t="s">
        <v>185</v>
      </c>
      <c r="B429" s="65" t="s">
        <v>205</v>
      </c>
      <c r="C429" s="26" t="s">
        <v>60</v>
      </c>
      <c r="D429" s="83"/>
      <c r="E429" s="83"/>
      <c r="F429" s="179">
        <f t="shared" si="13"/>
        <v>0</v>
      </c>
    </row>
    <row r="430" spans="1:6" s="19" customFormat="1" ht="12.75" customHeight="1">
      <c r="A430" s="25" t="s">
        <v>186</v>
      </c>
      <c r="B430" s="65" t="s">
        <v>205</v>
      </c>
      <c r="C430" s="26" t="s">
        <v>686</v>
      </c>
      <c r="D430" s="83">
        <v>143000</v>
      </c>
      <c r="E430" s="83">
        <v>142048.76</v>
      </c>
      <c r="F430" s="179">
        <f aca="true" t="shared" si="18" ref="F430:F516">D430-E430</f>
        <v>951.24</v>
      </c>
    </row>
    <row r="431" spans="1:6" s="19" customFormat="1" ht="18" customHeight="1" hidden="1">
      <c r="A431" s="27" t="s">
        <v>39</v>
      </c>
      <c r="B431" s="64" t="s">
        <v>205</v>
      </c>
      <c r="C431" s="28" t="s">
        <v>62</v>
      </c>
      <c r="D431" s="82">
        <f>SUM(D432:D433)</f>
        <v>0</v>
      </c>
      <c r="E431" s="82">
        <f>SUM(E432:E433)</f>
        <v>0</v>
      </c>
      <c r="F431" s="179">
        <f t="shared" si="18"/>
        <v>0</v>
      </c>
    </row>
    <row r="432" spans="1:6" s="19" customFormat="1" ht="15" customHeight="1" hidden="1">
      <c r="A432" s="27" t="s">
        <v>40</v>
      </c>
      <c r="B432" s="64" t="s">
        <v>205</v>
      </c>
      <c r="C432" s="28" t="s">
        <v>63</v>
      </c>
      <c r="D432" s="83"/>
      <c r="E432" s="83"/>
      <c r="F432" s="179">
        <f t="shared" si="18"/>
        <v>0</v>
      </c>
    </row>
    <row r="433" spans="1:6" s="19" customFormat="1" ht="17.25" customHeight="1" hidden="1">
      <c r="A433" s="27" t="s">
        <v>49</v>
      </c>
      <c r="B433" s="64" t="s">
        <v>205</v>
      </c>
      <c r="C433" s="28" t="s">
        <v>64</v>
      </c>
      <c r="D433" s="83"/>
      <c r="E433" s="83"/>
      <c r="F433" s="179">
        <f t="shared" si="18"/>
        <v>0</v>
      </c>
    </row>
    <row r="434" spans="1:6" s="19" customFormat="1" ht="2.25" customHeight="1" hidden="1">
      <c r="A434" s="27" t="s">
        <v>171</v>
      </c>
      <c r="B434" s="64" t="s">
        <v>205</v>
      </c>
      <c r="C434" s="28" t="s">
        <v>61</v>
      </c>
      <c r="D434" s="83">
        <f>150000-150000</f>
        <v>0</v>
      </c>
      <c r="E434" s="83"/>
      <c r="F434" s="179">
        <f t="shared" si="18"/>
        <v>0</v>
      </c>
    </row>
    <row r="435" spans="1:6" s="19" customFormat="1" ht="26.25" customHeight="1">
      <c r="A435" s="48" t="s">
        <v>687</v>
      </c>
      <c r="B435" s="24" t="s">
        <v>205</v>
      </c>
      <c r="C435" s="24" t="s">
        <v>688</v>
      </c>
      <c r="D435" s="85">
        <f>D436+D441</f>
        <v>15000</v>
      </c>
      <c r="E435" s="85">
        <f>E436+E441</f>
        <v>10000</v>
      </c>
      <c r="F435" s="179">
        <f t="shared" si="18"/>
        <v>5000</v>
      </c>
    </row>
    <row r="436" spans="1:6" s="19" customFormat="1" ht="15" customHeight="1">
      <c r="A436" s="25" t="s">
        <v>689</v>
      </c>
      <c r="B436" s="65" t="s">
        <v>205</v>
      </c>
      <c r="C436" s="26" t="s">
        <v>690</v>
      </c>
      <c r="D436" s="83">
        <f>D437+D440</f>
        <v>10716</v>
      </c>
      <c r="E436" s="83">
        <f>E437+E440</f>
        <v>5716</v>
      </c>
      <c r="F436" s="179">
        <f t="shared" si="18"/>
        <v>5000</v>
      </c>
    </row>
    <row r="437" spans="1:6" s="19" customFormat="1" ht="13.5" customHeight="1">
      <c r="A437" s="25" t="s">
        <v>178</v>
      </c>
      <c r="B437" s="65" t="s">
        <v>205</v>
      </c>
      <c r="C437" s="26" t="s">
        <v>884</v>
      </c>
      <c r="D437" s="83">
        <f>SUM(D438:D439)</f>
        <v>5716</v>
      </c>
      <c r="E437" s="83">
        <f>SUM(E438:E439)</f>
        <v>5716</v>
      </c>
      <c r="F437" s="179">
        <f t="shared" si="18"/>
        <v>0</v>
      </c>
    </row>
    <row r="438" spans="1:6" s="19" customFormat="1" ht="2.25" customHeight="1" hidden="1">
      <c r="A438" s="25" t="s">
        <v>185</v>
      </c>
      <c r="B438" s="65" t="s">
        <v>205</v>
      </c>
      <c r="C438" s="26" t="s">
        <v>65</v>
      </c>
      <c r="D438" s="83"/>
      <c r="E438" s="83"/>
      <c r="F438" s="179">
        <f t="shared" si="18"/>
        <v>0</v>
      </c>
    </row>
    <row r="439" spans="1:6" s="19" customFormat="1" ht="13.5" customHeight="1">
      <c r="A439" s="25" t="s">
        <v>171</v>
      </c>
      <c r="B439" s="65" t="s">
        <v>205</v>
      </c>
      <c r="C439" s="26" t="s">
        <v>883</v>
      </c>
      <c r="D439" s="83">
        <v>5716</v>
      </c>
      <c r="E439" s="83">
        <v>5716</v>
      </c>
      <c r="F439" s="179">
        <f t="shared" si="18"/>
        <v>0</v>
      </c>
    </row>
    <row r="440" spans="1:6" s="19" customFormat="1" ht="30" customHeight="1">
      <c r="A440" s="25" t="s">
        <v>655</v>
      </c>
      <c r="B440" s="97" t="s">
        <v>205</v>
      </c>
      <c r="C440" s="149" t="s">
        <v>691</v>
      </c>
      <c r="D440" s="91">
        <v>5000</v>
      </c>
      <c r="E440" s="91">
        <v>0</v>
      </c>
      <c r="F440" s="193">
        <f t="shared" si="18"/>
        <v>5000</v>
      </c>
    </row>
    <row r="441" spans="1:6" s="19" customFormat="1" ht="42" customHeight="1">
      <c r="A441" s="104" t="s">
        <v>692</v>
      </c>
      <c r="B441" s="22" t="s">
        <v>205</v>
      </c>
      <c r="C441" s="22" t="s">
        <v>693</v>
      </c>
      <c r="D441" s="86">
        <f>D442</f>
        <v>4284</v>
      </c>
      <c r="E441" s="86">
        <f>E442</f>
        <v>4284</v>
      </c>
      <c r="F441" s="105">
        <f t="shared" si="18"/>
        <v>0</v>
      </c>
    </row>
    <row r="442" spans="1:6" s="19" customFormat="1" ht="12.75">
      <c r="A442" s="27" t="s">
        <v>178</v>
      </c>
      <c r="B442" s="28" t="s">
        <v>205</v>
      </c>
      <c r="C442" s="28" t="s">
        <v>694</v>
      </c>
      <c r="D442" s="82">
        <f>D443</f>
        <v>4284</v>
      </c>
      <c r="E442" s="82">
        <f>E443</f>
        <v>4284</v>
      </c>
      <c r="F442" s="93">
        <f t="shared" si="18"/>
        <v>0</v>
      </c>
    </row>
    <row r="443" spans="1:6" s="19" customFormat="1" ht="12.75">
      <c r="A443" s="25" t="s">
        <v>171</v>
      </c>
      <c r="B443" s="26" t="s">
        <v>205</v>
      </c>
      <c r="C443" s="26" t="s">
        <v>695</v>
      </c>
      <c r="D443" s="83">
        <v>4284</v>
      </c>
      <c r="E443" s="83">
        <v>4284</v>
      </c>
      <c r="F443" s="82">
        <f t="shared" si="18"/>
        <v>0</v>
      </c>
    </row>
    <row r="444" spans="1:6" s="19" customFormat="1" ht="12.75">
      <c r="A444" s="40" t="s">
        <v>66</v>
      </c>
      <c r="B444" s="106" t="s">
        <v>205</v>
      </c>
      <c r="C444" s="69" t="s">
        <v>67</v>
      </c>
      <c r="D444" s="89">
        <f>D445+D452</f>
        <v>7006000</v>
      </c>
      <c r="E444" s="89">
        <f>E445+E452</f>
        <v>6506462.11</v>
      </c>
      <c r="F444" s="90">
        <f t="shared" si="18"/>
        <v>499537.89</v>
      </c>
    </row>
    <row r="445" spans="1:6" s="19" customFormat="1" ht="13.5" customHeight="1">
      <c r="A445" s="27" t="s">
        <v>178</v>
      </c>
      <c r="B445" s="64" t="s">
        <v>205</v>
      </c>
      <c r="C445" s="28" t="s">
        <v>68</v>
      </c>
      <c r="D445" s="82">
        <f>D446+D450</f>
        <v>6720000</v>
      </c>
      <c r="E445" s="82">
        <f>E446+E450</f>
        <v>6221429.61</v>
      </c>
      <c r="F445" s="82">
        <f t="shared" si="18"/>
        <v>498570.39</v>
      </c>
    </row>
    <row r="446" spans="1:6" s="19" customFormat="1" ht="13.5" customHeight="1">
      <c r="A446" s="27" t="s">
        <v>181</v>
      </c>
      <c r="B446" s="64" t="s">
        <v>205</v>
      </c>
      <c r="C446" s="28" t="s">
        <v>69</v>
      </c>
      <c r="D446" s="82">
        <f>D447+D448+D449</f>
        <v>6720000</v>
      </c>
      <c r="E446" s="82">
        <f>E447+E448+E449</f>
        <v>6221429.61</v>
      </c>
      <c r="F446" s="82">
        <f t="shared" si="18"/>
        <v>498570.39</v>
      </c>
    </row>
    <row r="447" spans="1:6" s="19" customFormat="1" ht="12.75" customHeight="1">
      <c r="A447" s="27" t="s">
        <v>183</v>
      </c>
      <c r="B447" s="64" t="s">
        <v>205</v>
      </c>
      <c r="C447" s="28" t="s">
        <v>193</v>
      </c>
      <c r="D447" s="82">
        <f>D504</f>
        <v>870000</v>
      </c>
      <c r="E447" s="82">
        <f>E504</f>
        <v>869381.53</v>
      </c>
      <c r="F447" s="82">
        <f t="shared" si="18"/>
        <v>618.47</v>
      </c>
    </row>
    <row r="448" spans="1:6" s="19" customFormat="1" ht="14.25" customHeight="1">
      <c r="A448" s="27" t="s">
        <v>185</v>
      </c>
      <c r="B448" s="64" t="s">
        <v>205</v>
      </c>
      <c r="C448" s="28" t="s">
        <v>70</v>
      </c>
      <c r="D448" s="82">
        <f>D458+D505+D481</f>
        <v>3372000</v>
      </c>
      <c r="E448" s="82">
        <f>E458+E505+E481</f>
        <v>3329734.91</v>
      </c>
      <c r="F448" s="82">
        <f t="shared" si="18"/>
        <v>42265.09</v>
      </c>
    </row>
    <row r="449" spans="1:6" s="19" customFormat="1" ht="12" customHeight="1">
      <c r="A449" s="27" t="s">
        <v>186</v>
      </c>
      <c r="B449" s="64" t="s">
        <v>205</v>
      </c>
      <c r="C449" s="28" t="s">
        <v>192</v>
      </c>
      <c r="D449" s="82">
        <f>D459+D506+D482</f>
        <v>2478000</v>
      </c>
      <c r="E449" s="82">
        <f>E459+E506+E482</f>
        <v>2022313.17</v>
      </c>
      <c r="F449" s="82">
        <f t="shared" si="18"/>
        <v>455686.83</v>
      </c>
    </row>
    <row r="450" spans="1:6" s="19" customFormat="1" ht="15.75" customHeight="1" hidden="1">
      <c r="A450" s="27" t="s">
        <v>39</v>
      </c>
      <c r="B450" s="64" t="s">
        <v>205</v>
      </c>
      <c r="C450" s="28" t="s">
        <v>317</v>
      </c>
      <c r="D450" s="82">
        <f>D451</f>
        <v>0</v>
      </c>
      <c r="E450" s="82">
        <f>E451</f>
        <v>0</v>
      </c>
      <c r="F450" s="82">
        <f t="shared" si="18"/>
        <v>0</v>
      </c>
    </row>
    <row r="451" spans="1:6" s="19" customFormat="1" ht="15" customHeight="1" hidden="1">
      <c r="A451" s="27" t="s">
        <v>325</v>
      </c>
      <c r="B451" s="64" t="s">
        <v>205</v>
      </c>
      <c r="C451" s="28" t="s">
        <v>324</v>
      </c>
      <c r="D451" s="82">
        <f>D461</f>
        <v>0</v>
      </c>
      <c r="E451" s="82">
        <f>E461</f>
        <v>0</v>
      </c>
      <c r="F451" s="82">
        <f t="shared" si="18"/>
        <v>0</v>
      </c>
    </row>
    <row r="452" spans="1:6" s="19" customFormat="1" ht="17.25" customHeight="1">
      <c r="A452" s="27" t="s">
        <v>189</v>
      </c>
      <c r="B452" s="64" t="s">
        <v>205</v>
      </c>
      <c r="C452" s="28" t="s">
        <v>415</v>
      </c>
      <c r="D452" s="82">
        <f>D453+D454</f>
        <v>286000</v>
      </c>
      <c r="E452" s="82">
        <f>E453+E454</f>
        <v>285032.5</v>
      </c>
      <c r="F452" s="82">
        <f>D452-E452</f>
        <v>967.5</v>
      </c>
    </row>
    <row r="453" spans="1:6" s="19" customFormat="1" ht="15" customHeight="1">
      <c r="A453" s="176" t="s">
        <v>190</v>
      </c>
      <c r="B453" s="64" t="s">
        <v>205</v>
      </c>
      <c r="C453" s="28" t="s">
        <v>390</v>
      </c>
      <c r="D453" s="82">
        <f>D484+D508</f>
        <v>167000</v>
      </c>
      <c r="E453" s="82">
        <f>E484+E508</f>
        <v>166765</v>
      </c>
      <c r="F453" s="82">
        <f t="shared" si="18"/>
        <v>235</v>
      </c>
    </row>
    <row r="454" spans="1:6" s="19" customFormat="1" ht="15" customHeight="1">
      <c r="A454" s="194" t="s">
        <v>191</v>
      </c>
      <c r="B454" s="64" t="s">
        <v>205</v>
      </c>
      <c r="C454" s="28" t="s">
        <v>416</v>
      </c>
      <c r="D454" s="82">
        <f>D509</f>
        <v>119000</v>
      </c>
      <c r="E454" s="82">
        <f>E509</f>
        <v>118267.5</v>
      </c>
      <c r="F454" s="82">
        <f>D454-E454</f>
        <v>732.5</v>
      </c>
    </row>
    <row r="455" spans="1:6" s="19" customFormat="1" ht="38.25" customHeight="1">
      <c r="A455" s="45" t="s">
        <v>71</v>
      </c>
      <c r="B455" s="66" t="s">
        <v>205</v>
      </c>
      <c r="C455" s="70" t="s">
        <v>312</v>
      </c>
      <c r="D455" s="86">
        <f>D456</f>
        <v>1372000</v>
      </c>
      <c r="E455" s="86">
        <f>E456</f>
        <v>1371912.5</v>
      </c>
      <c r="F455" s="82">
        <f aca="true" t="shared" si="19" ref="F455:F462">D455-E455</f>
        <v>87.5</v>
      </c>
    </row>
    <row r="456" spans="1:6" s="19" customFormat="1" ht="16.5" customHeight="1">
      <c r="A456" s="27" t="s">
        <v>178</v>
      </c>
      <c r="B456" s="64" t="s">
        <v>205</v>
      </c>
      <c r="C456" s="28" t="s">
        <v>313</v>
      </c>
      <c r="D456" s="82">
        <f>D457+D460</f>
        <v>1372000</v>
      </c>
      <c r="E456" s="82">
        <f>E457+E460</f>
        <v>1371912.5</v>
      </c>
      <c r="F456" s="82">
        <f t="shared" si="19"/>
        <v>87.5</v>
      </c>
    </row>
    <row r="457" spans="1:6" s="19" customFormat="1" ht="14.25" customHeight="1">
      <c r="A457" s="27" t="s">
        <v>181</v>
      </c>
      <c r="B457" s="64" t="s">
        <v>205</v>
      </c>
      <c r="C457" s="28" t="s">
        <v>314</v>
      </c>
      <c r="D457" s="82">
        <f>D459+D458</f>
        <v>1372000</v>
      </c>
      <c r="E457" s="82">
        <f>E459+E458</f>
        <v>1371912.5</v>
      </c>
      <c r="F457" s="82">
        <f t="shared" si="19"/>
        <v>87.5</v>
      </c>
    </row>
    <row r="458" spans="1:6" s="19" customFormat="1" ht="15.75" customHeight="1">
      <c r="A458" s="27" t="s">
        <v>185</v>
      </c>
      <c r="B458" s="64" t="s">
        <v>205</v>
      </c>
      <c r="C458" s="28" t="s">
        <v>460</v>
      </c>
      <c r="D458" s="82">
        <f>D466</f>
        <v>1235000</v>
      </c>
      <c r="E458" s="82">
        <f>E466</f>
        <v>1234998.41</v>
      </c>
      <c r="F458" s="82">
        <f t="shared" si="19"/>
        <v>1.59</v>
      </c>
    </row>
    <row r="459" spans="1:6" s="19" customFormat="1" ht="12.75" customHeight="1">
      <c r="A459" s="27" t="s">
        <v>186</v>
      </c>
      <c r="B459" s="64" t="s">
        <v>205</v>
      </c>
      <c r="C459" s="28" t="s">
        <v>327</v>
      </c>
      <c r="D459" s="82">
        <f>D467</f>
        <v>137000</v>
      </c>
      <c r="E459" s="82">
        <f>E467</f>
        <v>136914.09</v>
      </c>
      <c r="F459" s="82">
        <f t="shared" si="19"/>
        <v>85.91</v>
      </c>
    </row>
    <row r="460" spans="1:6" s="19" customFormat="1" ht="21" customHeight="1">
      <c r="A460" s="27" t="s">
        <v>39</v>
      </c>
      <c r="B460" s="64" t="s">
        <v>205</v>
      </c>
      <c r="C460" s="28" t="s">
        <v>346</v>
      </c>
      <c r="D460" s="82">
        <f>D461</f>
        <v>0</v>
      </c>
      <c r="E460" s="82">
        <f>E461</f>
        <v>0</v>
      </c>
      <c r="F460" s="82">
        <f t="shared" si="19"/>
        <v>0</v>
      </c>
    </row>
    <row r="461" spans="1:6" s="19" customFormat="1" ht="23.25" customHeight="1">
      <c r="A461" s="27" t="s">
        <v>323</v>
      </c>
      <c r="B461" s="64" t="s">
        <v>205</v>
      </c>
      <c r="C461" s="28" t="s">
        <v>322</v>
      </c>
      <c r="D461" s="82">
        <f>D473</f>
        <v>0</v>
      </c>
      <c r="E461" s="82">
        <f>E473</f>
        <v>0</v>
      </c>
      <c r="F461" s="82">
        <f t="shared" si="19"/>
        <v>0</v>
      </c>
    </row>
    <row r="462" spans="1:6" s="19" customFormat="1" ht="19.5" customHeight="1" hidden="1">
      <c r="A462" s="107"/>
      <c r="B462" s="64" t="s">
        <v>205</v>
      </c>
      <c r="C462" s="28"/>
      <c r="D462" s="82"/>
      <c r="E462" s="82"/>
      <c r="F462" s="82">
        <f t="shared" si="19"/>
        <v>0</v>
      </c>
    </row>
    <row r="463" spans="1:6" s="19" customFormat="1" ht="42" customHeight="1">
      <c r="A463" s="101" t="s">
        <v>441</v>
      </c>
      <c r="B463" s="63" t="s">
        <v>205</v>
      </c>
      <c r="C463" s="71" t="s">
        <v>696</v>
      </c>
      <c r="D463" s="85">
        <f>D464</f>
        <v>1372000</v>
      </c>
      <c r="E463" s="85">
        <f>E464</f>
        <v>1371912.5</v>
      </c>
      <c r="F463" s="85">
        <f>D463-E463</f>
        <v>87.5</v>
      </c>
    </row>
    <row r="464" spans="1:6" s="19" customFormat="1" ht="39.75" customHeight="1">
      <c r="A464" s="27" t="s">
        <v>697</v>
      </c>
      <c r="B464" s="64" t="s">
        <v>205</v>
      </c>
      <c r="C464" s="28" t="s">
        <v>698</v>
      </c>
      <c r="D464" s="82">
        <f>D465+D475</f>
        <v>1372000</v>
      </c>
      <c r="E464" s="82">
        <f>E465+E475</f>
        <v>1371912.5</v>
      </c>
      <c r="F464" s="82">
        <f t="shared" si="18"/>
        <v>87.5</v>
      </c>
    </row>
    <row r="465" spans="1:6" s="19" customFormat="1" ht="18" customHeight="1">
      <c r="A465" s="25" t="s">
        <v>181</v>
      </c>
      <c r="B465" s="65" t="s">
        <v>205</v>
      </c>
      <c r="C465" s="26" t="s">
        <v>699</v>
      </c>
      <c r="D465" s="83">
        <f>SUM(D466:D467)</f>
        <v>1372000</v>
      </c>
      <c r="E465" s="83">
        <f>SUM(E466:E467)</f>
        <v>1371912.5</v>
      </c>
      <c r="F465" s="82">
        <f t="shared" si="18"/>
        <v>87.5</v>
      </c>
    </row>
    <row r="466" spans="1:6" s="19" customFormat="1" ht="12.75" customHeight="1">
      <c r="A466" s="25" t="s">
        <v>185</v>
      </c>
      <c r="B466" s="65" t="s">
        <v>205</v>
      </c>
      <c r="C466" s="26" t="s">
        <v>844</v>
      </c>
      <c r="D466" s="83">
        <v>1235000</v>
      </c>
      <c r="E466" s="83">
        <v>1234998.41</v>
      </c>
      <c r="F466" s="82">
        <f t="shared" si="18"/>
        <v>1.59</v>
      </c>
    </row>
    <row r="467" spans="1:6" s="19" customFormat="1" ht="12.75" customHeight="1">
      <c r="A467" s="25" t="s">
        <v>186</v>
      </c>
      <c r="B467" s="65" t="s">
        <v>205</v>
      </c>
      <c r="C467" s="26" t="s">
        <v>700</v>
      </c>
      <c r="D467" s="83">
        <v>137000</v>
      </c>
      <c r="E467" s="83">
        <v>136914.09</v>
      </c>
      <c r="F467" s="82">
        <f t="shared" si="18"/>
        <v>85.91</v>
      </c>
    </row>
    <row r="468" spans="1:6" s="19" customFormat="1" ht="12" customHeight="1" hidden="1">
      <c r="A468" s="27" t="s">
        <v>178</v>
      </c>
      <c r="B468" s="64" t="s">
        <v>205</v>
      </c>
      <c r="C468" s="28" t="s">
        <v>442</v>
      </c>
      <c r="D468" s="82">
        <f>D469</f>
        <v>0</v>
      </c>
      <c r="E468" s="82">
        <f>E469</f>
        <v>0</v>
      </c>
      <c r="F468" s="82">
        <f t="shared" si="18"/>
        <v>0</v>
      </c>
    </row>
    <row r="469" spans="1:6" s="19" customFormat="1" ht="12.75" customHeight="1" hidden="1">
      <c r="A469" s="25" t="s">
        <v>181</v>
      </c>
      <c r="B469" s="65" t="s">
        <v>205</v>
      </c>
      <c r="C469" s="26" t="s">
        <v>446</v>
      </c>
      <c r="D469" s="83">
        <f>SUM(D470:D471)</f>
        <v>0</v>
      </c>
      <c r="E469" s="83">
        <f>SUM(E470:E471)</f>
        <v>0</v>
      </c>
      <c r="F469" s="83">
        <f>D469-E469</f>
        <v>0</v>
      </c>
    </row>
    <row r="470" spans="1:6" s="19" customFormat="1" ht="10.5" customHeight="1" hidden="1">
      <c r="A470" s="25" t="s">
        <v>186</v>
      </c>
      <c r="B470" s="65" t="s">
        <v>205</v>
      </c>
      <c r="C470" s="26" t="s">
        <v>443</v>
      </c>
      <c r="D470" s="83"/>
      <c r="E470" s="83"/>
      <c r="F470" s="83">
        <f>D470-E470</f>
        <v>0</v>
      </c>
    </row>
    <row r="471" spans="1:6" s="19" customFormat="1" ht="13.5" customHeight="1" hidden="1">
      <c r="A471" s="27" t="s">
        <v>445</v>
      </c>
      <c r="B471" s="114">
        <v>200</v>
      </c>
      <c r="C471" s="115" t="s">
        <v>444</v>
      </c>
      <c r="D471" s="116">
        <f>D472</f>
        <v>0</v>
      </c>
      <c r="E471" s="116">
        <f>E472</f>
        <v>0</v>
      </c>
      <c r="F471" s="82">
        <f t="shared" si="18"/>
        <v>0</v>
      </c>
    </row>
    <row r="472" spans="1:6" s="19" customFormat="1" ht="22.5" customHeight="1" hidden="1">
      <c r="A472" s="27" t="s">
        <v>39</v>
      </c>
      <c r="B472" s="114">
        <v>200</v>
      </c>
      <c r="C472" s="115" t="s">
        <v>447</v>
      </c>
      <c r="D472" s="116">
        <f>D473</f>
        <v>0</v>
      </c>
      <c r="E472" s="116">
        <f>E473</f>
        <v>0</v>
      </c>
      <c r="F472" s="82">
        <f t="shared" si="18"/>
        <v>0</v>
      </c>
    </row>
    <row r="473" spans="1:6" s="19" customFormat="1" ht="33" customHeight="1" hidden="1">
      <c r="A473" s="25" t="s">
        <v>325</v>
      </c>
      <c r="B473" s="65" t="s">
        <v>205</v>
      </c>
      <c r="C473" s="26" t="s">
        <v>448</v>
      </c>
      <c r="D473" s="83"/>
      <c r="E473" s="83"/>
      <c r="F473" s="82">
        <f t="shared" si="18"/>
        <v>0</v>
      </c>
    </row>
    <row r="474" spans="1:6" ht="26.25" customHeight="1" hidden="1">
      <c r="A474" s="27" t="s">
        <v>315</v>
      </c>
      <c r="B474" s="64" t="s">
        <v>205</v>
      </c>
      <c r="C474" s="28" t="s">
        <v>316</v>
      </c>
      <c r="D474" s="82">
        <f aca="true" t="shared" si="20" ref="D474:E476">D475</f>
        <v>0</v>
      </c>
      <c r="E474" s="82">
        <f t="shared" si="20"/>
        <v>0</v>
      </c>
      <c r="F474" s="82">
        <f>D474-E474</f>
        <v>0</v>
      </c>
    </row>
    <row r="475" spans="1:6" ht="16.5" customHeight="1" hidden="1">
      <c r="A475" s="27" t="s">
        <v>178</v>
      </c>
      <c r="B475" s="64" t="s">
        <v>205</v>
      </c>
      <c r="C475" s="28" t="s">
        <v>318</v>
      </c>
      <c r="D475" s="82">
        <f t="shared" si="20"/>
        <v>0</v>
      </c>
      <c r="E475" s="82">
        <f t="shared" si="20"/>
        <v>0</v>
      </c>
      <c r="F475" s="82">
        <f t="shared" si="18"/>
        <v>0</v>
      </c>
    </row>
    <row r="476" spans="1:6" ht="24.75" customHeight="1" hidden="1">
      <c r="A476" s="27" t="s">
        <v>39</v>
      </c>
      <c r="B476" s="64" t="s">
        <v>205</v>
      </c>
      <c r="C476" s="28" t="s">
        <v>319</v>
      </c>
      <c r="D476" s="82">
        <f t="shared" si="20"/>
        <v>0</v>
      </c>
      <c r="E476" s="82">
        <f t="shared" si="20"/>
        <v>0</v>
      </c>
      <c r="F476" s="82">
        <f>D476-E476</f>
        <v>0</v>
      </c>
    </row>
    <row r="477" spans="1:6" ht="24" customHeight="1" hidden="1">
      <c r="A477" s="27" t="s">
        <v>321</v>
      </c>
      <c r="B477" s="64" t="s">
        <v>205</v>
      </c>
      <c r="C477" s="28" t="s">
        <v>320</v>
      </c>
      <c r="D477" s="83"/>
      <c r="E477" s="83"/>
      <c r="F477" s="82">
        <f>D477-E477</f>
        <v>0</v>
      </c>
    </row>
    <row r="478" spans="1:6" ht="12" customHeight="1">
      <c r="A478" s="43" t="s">
        <v>292</v>
      </c>
      <c r="B478" s="66" t="s">
        <v>205</v>
      </c>
      <c r="C478" s="70" t="s">
        <v>291</v>
      </c>
      <c r="D478" s="86">
        <f>D479+D483</f>
        <v>2127000</v>
      </c>
      <c r="E478" s="86">
        <f>E479+E483</f>
        <v>1676264.08</v>
      </c>
      <c r="F478" s="82">
        <f t="shared" si="18"/>
        <v>450735.92</v>
      </c>
    </row>
    <row r="479" spans="1:6" ht="15.75" customHeight="1">
      <c r="A479" s="27" t="s">
        <v>178</v>
      </c>
      <c r="B479" s="64" t="s">
        <v>205</v>
      </c>
      <c r="C479" s="28" t="s">
        <v>293</v>
      </c>
      <c r="D479" s="82">
        <f>D480</f>
        <v>2127000</v>
      </c>
      <c r="E479" s="82">
        <f>E480</f>
        <v>1676264.08</v>
      </c>
      <c r="F479" s="82">
        <f t="shared" si="18"/>
        <v>450735.92</v>
      </c>
    </row>
    <row r="480" spans="1:6" ht="14.25" customHeight="1">
      <c r="A480" s="27" t="s">
        <v>181</v>
      </c>
      <c r="B480" s="64" t="s">
        <v>205</v>
      </c>
      <c r="C480" s="28" t="s">
        <v>294</v>
      </c>
      <c r="D480" s="82">
        <f>SUM(D481:D482)</f>
        <v>2127000</v>
      </c>
      <c r="E480" s="82">
        <f>SUM(E481:E482)</f>
        <v>1676264.08</v>
      </c>
      <c r="F480" s="82">
        <f t="shared" si="18"/>
        <v>450735.92</v>
      </c>
    </row>
    <row r="481" spans="1:6" ht="15.75" customHeight="1">
      <c r="A481" s="27" t="s">
        <v>185</v>
      </c>
      <c r="B481" s="64" t="s">
        <v>205</v>
      </c>
      <c r="C481" s="28" t="s">
        <v>295</v>
      </c>
      <c r="D481" s="82">
        <f>D488+D492+D489</f>
        <v>800000</v>
      </c>
      <c r="E481" s="82">
        <f>E488+E492+E489</f>
        <v>800000</v>
      </c>
      <c r="F481" s="82">
        <f t="shared" si="18"/>
        <v>0</v>
      </c>
    </row>
    <row r="482" spans="1:6" ht="13.5" customHeight="1">
      <c r="A482" s="27" t="s">
        <v>186</v>
      </c>
      <c r="B482" s="64" t="s">
        <v>205</v>
      </c>
      <c r="C482" s="28" t="s">
        <v>358</v>
      </c>
      <c r="D482" s="82">
        <f>D498</f>
        <v>1327000</v>
      </c>
      <c r="E482" s="82">
        <f>E498</f>
        <v>876264.08</v>
      </c>
      <c r="F482" s="82"/>
    </row>
    <row r="483" spans="1:6" ht="13.5" customHeight="1">
      <c r="A483" s="27" t="s">
        <v>189</v>
      </c>
      <c r="B483" s="64" t="s">
        <v>205</v>
      </c>
      <c r="C483" s="28" t="s">
        <v>392</v>
      </c>
      <c r="D483" s="82">
        <f>D484</f>
        <v>0</v>
      </c>
      <c r="E483" s="82">
        <f>E484</f>
        <v>0</v>
      </c>
      <c r="F483" s="82">
        <f t="shared" si="18"/>
        <v>0</v>
      </c>
    </row>
    <row r="484" spans="1:6" ht="19.5" customHeight="1">
      <c r="A484" s="27" t="s">
        <v>190</v>
      </c>
      <c r="B484" s="64" t="s">
        <v>205</v>
      </c>
      <c r="C484" s="28" t="s">
        <v>387</v>
      </c>
      <c r="D484" s="82">
        <f>D494</f>
        <v>0</v>
      </c>
      <c r="E484" s="82"/>
      <c r="F484" s="82">
        <f t="shared" si="18"/>
        <v>0</v>
      </c>
    </row>
    <row r="485" spans="1:6" ht="38.25" customHeight="1">
      <c r="A485" s="126" t="s">
        <v>701</v>
      </c>
      <c r="B485" s="63" t="s">
        <v>205</v>
      </c>
      <c r="C485" s="24" t="s">
        <v>702</v>
      </c>
      <c r="D485" s="85">
        <f>D486+D490+D495</f>
        <v>2127000</v>
      </c>
      <c r="E485" s="85">
        <f>E486+E490+E495</f>
        <v>1676264.08</v>
      </c>
      <c r="F485" s="82">
        <f t="shared" si="18"/>
        <v>450735.92</v>
      </c>
    </row>
    <row r="486" spans="1:6" ht="45.75" customHeight="1">
      <c r="A486" s="195" t="s">
        <v>703</v>
      </c>
      <c r="B486" s="196" t="s">
        <v>205</v>
      </c>
      <c r="C486" s="197" t="s">
        <v>704</v>
      </c>
      <c r="D486" s="179">
        <f>D487</f>
        <v>800000</v>
      </c>
      <c r="E486" s="179">
        <f>E487</f>
        <v>800000</v>
      </c>
      <c r="F486" s="82">
        <f t="shared" si="18"/>
        <v>0</v>
      </c>
    </row>
    <row r="487" spans="1:6" ht="15" customHeight="1">
      <c r="A487" s="134" t="s">
        <v>178</v>
      </c>
      <c r="B487" s="128" t="s">
        <v>205</v>
      </c>
      <c r="C487" s="129" t="s">
        <v>705</v>
      </c>
      <c r="D487" s="83">
        <f>D488+D489</f>
        <v>800000</v>
      </c>
      <c r="E487" s="83">
        <f>E488+E489</f>
        <v>800000</v>
      </c>
      <c r="F487" s="82">
        <f t="shared" si="18"/>
        <v>0</v>
      </c>
    </row>
    <row r="488" spans="1:6" ht="22.5" customHeight="1">
      <c r="A488" s="134" t="s">
        <v>395</v>
      </c>
      <c r="B488" s="128" t="s">
        <v>205</v>
      </c>
      <c r="C488" s="129" t="s">
        <v>706</v>
      </c>
      <c r="D488" s="83">
        <f>3000000-2200000</f>
        <v>800000</v>
      </c>
      <c r="E488" s="83">
        <v>800000</v>
      </c>
      <c r="F488" s="82">
        <f t="shared" si="18"/>
        <v>0</v>
      </c>
    </row>
    <row r="489" spans="1:6" ht="22.5" customHeight="1">
      <c r="A489" s="134" t="s">
        <v>395</v>
      </c>
      <c r="B489" s="128" t="s">
        <v>425</v>
      </c>
      <c r="C489" s="129" t="s">
        <v>829</v>
      </c>
      <c r="D489" s="83">
        <f>580000-580000</f>
        <v>0</v>
      </c>
      <c r="E489" s="83">
        <v>0</v>
      </c>
      <c r="F489" s="82"/>
    </row>
    <row r="490" spans="1:6" ht="45.75" customHeight="1" hidden="1">
      <c r="A490" s="195" t="s">
        <v>707</v>
      </c>
      <c r="B490" s="196" t="s">
        <v>205</v>
      </c>
      <c r="C490" s="197" t="s">
        <v>708</v>
      </c>
      <c r="D490" s="179">
        <f>D491+D493</f>
        <v>0</v>
      </c>
      <c r="E490" s="179">
        <f>E491</f>
        <v>0</v>
      </c>
      <c r="F490" s="82">
        <f>D490-E490</f>
        <v>0</v>
      </c>
    </row>
    <row r="491" spans="1:6" ht="15" customHeight="1" hidden="1">
      <c r="A491" s="134" t="s">
        <v>178</v>
      </c>
      <c r="B491" s="128" t="s">
        <v>205</v>
      </c>
      <c r="C491" s="129" t="s">
        <v>709</v>
      </c>
      <c r="D491" s="83">
        <f>D492</f>
        <v>0</v>
      </c>
      <c r="E491" s="83">
        <f>E492</f>
        <v>0</v>
      </c>
      <c r="F491" s="82">
        <f>D491-E491</f>
        <v>0</v>
      </c>
    </row>
    <row r="492" spans="1:6" ht="22.5" customHeight="1" hidden="1">
      <c r="A492" s="134" t="s">
        <v>395</v>
      </c>
      <c r="B492" s="128" t="s">
        <v>205</v>
      </c>
      <c r="C492" s="129" t="s">
        <v>710</v>
      </c>
      <c r="D492" s="83">
        <v>0</v>
      </c>
      <c r="E492" s="83">
        <v>0</v>
      </c>
      <c r="F492" s="82">
        <f>D492-E492</f>
        <v>0</v>
      </c>
    </row>
    <row r="493" spans="1:6" ht="15" customHeight="1" hidden="1">
      <c r="A493" s="25" t="s">
        <v>189</v>
      </c>
      <c r="B493" s="65" t="s">
        <v>205</v>
      </c>
      <c r="C493" s="26" t="s">
        <v>711</v>
      </c>
      <c r="D493" s="83">
        <f>D494</f>
        <v>0</v>
      </c>
      <c r="E493" s="83">
        <f>E494</f>
        <v>0</v>
      </c>
      <c r="F493" s="82">
        <f t="shared" si="18"/>
        <v>0</v>
      </c>
    </row>
    <row r="494" spans="1:6" ht="15.75" customHeight="1" hidden="1">
      <c r="A494" s="25" t="s">
        <v>190</v>
      </c>
      <c r="B494" s="65" t="s">
        <v>205</v>
      </c>
      <c r="C494" s="26" t="s">
        <v>712</v>
      </c>
      <c r="D494" s="83"/>
      <c r="E494" s="83"/>
      <c r="F494" s="82">
        <f t="shared" si="18"/>
        <v>0</v>
      </c>
    </row>
    <row r="495" spans="1:6" ht="33.75" customHeight="1">
      <c r="A495" s="122" t="s">
        <v>713</v>
      </c>
      <c r="B495" s="63" t="s">
        <v>205</v>
      </c>
      <c r="C495" s="24" t="s">
        <v>714</v>
      </c>
      <c r="D495" s="85">
        <f>D496+D499</f>
        <v>1327000</v>
      </c>
      <c r="E495" s="85">
        <f>E496+E499</f>
        <v>876264.08</v>
      </c>
      <c r="F495" s="82">
        <f t="shared" si="18"/>
        <v>450735.92</v>
      </c>
    </row>
    <row r="496" spans="1:6" ht="12.75" customHeight="1">
      <c r="A496" s="27" t="s">
        <v>178</v>
      </c>
      <c r="B496" s="64" t="s">
        <v>205</v>
      </c>
      <c r="C496" s="28" t="s">
        <v>715</v>
      </c>
      <c r="D496" s="179">
        <f>D497</f>
        <v>1327000</v>
      </c>
      <c r="E496" s="179">
        <f>E497</f>
        <v>876264.08</v>
      </c>
      <c r="F496" s="82">
        <f t="shared" si="18"/>
        <v>450735.92</v>
      </c>
    </row>
    <row r="497" spans="1:6" ht="12" customHeight="1">
      <c r="A497" s="27" t="s">
        <v>181</v>
      </c>
      <c r="B497" s="64" t="s">
        <v>205</v>
      </c>
      <c r="C497" s="28" t="s">
        <v>716</v>
      </c>
      <c r="D497" s="179">
        <f>D498</f>
        <v>1327000</v>
      </c>
      <c r="E497" s="179">
        <f>E498</f>
        <v>876264.08</v>
      </c>
      <c r="F497" s="82">
        <f t="shared" si="18"/>
        <v>450735.92</v>
      </c>
    </row>
    <row r="498" spans="1:6" ht="15.75" customHeight="1">
      <c r="A498" s="25" t="s">
        <v>717</v>
      </c>
      <c r="B498" s="65" t="s">
        <v>205</v>
      </c>
      <c r="C498" s="26" t="s">
        <v>718</v>
      </c>
      <c r="D498" s="83">
        <v>1327000</v>
      </c>
      <c r="E498" s="83">
        <v>876264.08</v>
      </c>
      <c r="F498" s="82">
        <f t="shared" si="18"/>
        <v>450735.92</v>
      </c>
    </row>
    <row r="499" spans="1:6" ht="15.75" customHeight="1" hidden="1">
      <c r="A499" s="27" t="s">
        <v>189</v>
      </c>
      <c r="B499" s="64" t="s">
        <v>205</v>
      </c>
      <c r="C499" s="28" t="s">
        <v>388</v>
      </c>
      <c r="D499" s="127">
        <f>D500</f>
        <v>0</v>
      </c>
      <c r="E499" s="127"/>
      <c r="F499" s="82">
        <f t="shared" si="18"/>
        <v>0</v>
      </c>
    </row>
    <row r="500" spans="1:6" ht="12.75" customHeight="1" hidden="1">
      <c r="A500" s="25" t="s">
        <v>190</v>
      </c>
      <c r="B500" s="65" t="s">
        <v>205</v>
      </c>
      <c r="C500" s="26" t="s">
        <v>389</v>
      </c>
      <c r="D500" s="83"/>
      <c r="E500" s="83"/>
      <c r="F500" s="82">
        <f t="shared" si="18"/>
        <v>0</v>
      </c>
    </row>
    <row r="501" spans="1:8" ht="12.75">
      <c r="A501" s="43" t="s">
        <v>296</v>
      </c>
      <c r="B501" s="66" t="s">
        <v>205</v>
      </c>
      <c r="C501" s="70" t="s">
        <v>719</v>
      </c>
      <c r="D501" s="86">
        <f>D502</f>
        <v>3507000</v>
      </c>
      <c r="E501" s="86">
        <f>E502+E507</f>
        <v>3458285.53</v>
      </c>
      <c r="F501" s="82">
        <f t="shared" si="18"/>
        <v>48714.47</v>
      </c>
      <c r="H501" s="92"/>
    </row>
    <row r="502" spans="1:6" ht="12.75">
      <c r="A502" s="27" t="s">
        <v>178</v>
      </c>
      <c r="B502" s="64" t="s">
        <v>205</v>
      </c>
      <c r="C502" s="28" t="s">
        <v>720</v>
      </c>
      <c r="D502" s="82">
        <f>D503+D507</f>
        <v>3507000</v>
      </c>
      <c r="E502" s="82">
        <f>E503</f>
        <v>3173253.03</v>
      </c>
      <c r="F502" s="82">
        <f t="shared" si="18"/>
        <v>333746.97</v>
      </c>
    </row>
    <row r="503" spans="1:6" ht="12" customHeight="1">
      <c r="A503" s="27" t="s">
        <v>181</v>
      </c>
      <c r="B503" s="64" t="s">
        <v>205</v>
      </c>
      <c r="C503" s="28" t="s">
        <v>721</v>
      </c>
      <c r="D503" s="82">
        <f>D504+D505+D506</f>
        <v>3221000</v>
      </c>
      <c r="E503" s="82">
        <f>E504+E505+E506</f>
        <v>3173253.03</v>
      </c>
      <c r="F503" s="82">
        <f t="shared" si="18"/>
        <v>47746.97</v>
      </c>
    </row>
    <row r="504" spans="1:6" ht="12.75">
      <c r="A504" s="176" t="s">
        <v>183</v>
      </c>
      <c r="B504" s="64" t="s">
        <v>205</v>
      </c>
      <c r="C504" s="28" t="s">
        <v>723</v>
      </c>
      <c r="D504" s="82">
        <f>D515</f>
        <v>870000</v>
      </c>
      <c r="E504" s="82">
        <f>E515</f>
        <v>869381.53</v>
      </c>
      <c r="F504" s="82">
        <f t="shared" si="18"/>
        <v>618.47</v>
      </c>
    </row>
    <row r="505" spans="1:6" ht="12.75" customHeight="1">
      <c r="A505" s="27" t="s">
        <v>185</v>
      </c>
      <c r="B505" s="64" t="s">
        <v>205</v>
      </c>
      <c r="C505" s="28" t="s">
        <v>724</v>
      </c>
      <c r="D505" s="82">
        <f>D516</f>
        <v>1337000</v>
      </c>
      <c r="E505" s="82">
        <f>E516</f>
        <v>1294736.5</v>
      </c>
      <c r="F505" s="82">
        <f t="shared" si="18"/>
        <v>42263.5</v>
      </c>
    </row>
    <row r="506" spans="1:6" ht="12.75">
      <c r="A506" s="27" t="s">
        <v>186</v>
      </c>
      <c r="B506" s="64" t="s">
        <v>205</v>
      </c>
      <c r="C506" s="28" t="s">
        <v>725</v>
      </c>
      <c r="D506" s="82">
        <f>D517+D521+D528+D535</f>
        <v>1014000</v>
      </c>
      <c r="E506" s="82">
        <f>E517+E521+E528+E535</f>
        <v>1009135</v>
      </c>
      <c r="F506" s="82">
        <f t="shared" si="18"/>
        <v>4865</v>
      </c>
    </row>
    <row r="507" spans="1:6" ht="12.75">
      <c r="A507" s="194" t="s">
        <v>722</v>
      </c>
      <c r="B507" s="64" t="s">
        <v>205</v>
      </c>
      <c r="C507" s="28" t="s">
        <v>726</v>
      </c>
      <c r="D507" s="82">
        <f>D508+D509</f>
        <v>286000</v>
      </c>
      <c r="E507" s="82">
        <f>E508+E509</f>
        <v>285032.5</v>
      </c>
      <c r="F507" s="82">
        <f t="shared" si="18"/>
        <v>967.5</v>
      </c>
    </row>
    <row r="508" spans="1:6" ht="22.5">
      <c r="A508" s="27" t="s">
        <v>190</v>
      </c>
      <c r="B508" s="64" t="s">
        <v>205</v>
      </c>
      <c r="C508" s="28" t="s">
        <v>727</v>
      </c>
      <c r="D508" s="82">
        <f>D537</f>
        <v>167000</v>
      </c>
      <c r="E508" s="82">
        <f>E537</f>
        <v>166765</v>
      </c>
      <c r="F508" s="82">
        <f t="shared" si="18"/>
        <v>235</v>
      </c>
    </row>
    <row r="509" spans="1:6" ht="22.5">
      <c r="A509" s="194" t="s">
        <v>191</v>
      </c>
      <c r="B509" s="64" t="s">
        <v>205</v>
      </c>
      <c r="C509" s="28" t="s">
        <v>886</v>
      </c>
      <c r="D509" s="82">
        <f>D538</f>
        <v>119000</v>
      </c>
      <c r="E509" s="82">
        <f>E538</f>
        <v>118267.5</v>
      </c>
      <c r="F509" s="82">
        <f>D509-E509</f>
        <v>732.5</v>
      </c>
    </row>
    <row r="510" spans="1:6" ht="34.5" customHeight="1">
      <c r="A510" s="154" t="s">
        <v>449</v>
      </c>
      <c r="B510" s="63" t="s">
        <v>205</v>
      </c>
      <c r="C510" s="24" t="s">
        <v>728</v>
      </c>
      <c r="D510" s="85">
        <f>D511</f>
        <v>2207000</v>
      </c>
      <c r="E510" s="85">
        <f>E511</f>
        <v>2164118.03</v>
      </c>
      <c r="F510" s="82">
        <f t="shared" si="18"/>
        <v>42881.97</v>
      </c>
    </row>
    <row r="511" spans="1:6" ht="12" customHeight="1">
      <c r="A511" s="27" t="s">
        <v>178</v>
      </c>
      <c r="B511" s="64" t="s">
        <v>205</v>
      </c>
      <c r="C511" s="28" t="s">
        <v>729</v>
      </c>
      <c r="D511" s="82">
        <f>D512+D514</f>
        <v>2207000</v>
      </c>
      <c r="E511" s="82">
        <f>E512+E514</f>
        <v>2164118.03</v>
      </c>
      <c r="F511" s="82">
        <f t="shared" si="18"/>
        <v>42881.97</v>
      </c>
    </row>
    <row r="512" spans="1:6" ht="45.75" customHeight="1" hidden="1">
      <c r="A512" s="27" t="s">
        <v>181</v>
      </c>
      <c r="B512" s="64" t="s">
        <v>205</v>
      </c>
      <c r="C512" s="28" t="s">
        <v>242</v>
      </c>
      <c r="D512" s="82">
        <f>SUM(D513:D513)</f>
        <v>0</v>
      </c>
      <c r="E512" s="82">
        <f>SUM(E513:E513)</f>
        <v>0</v>
      </c>
      <c r="F512" s="82">
        <f t="shared" si="18"/>
        <v>0</v>
      </c>
    </row>
    <row r="513" spans="1:6" ht="12.75" hidden="1">
      <c r="A513" s="27" t="s">
        <v>185</v>
      </c>
      <c r="B513" s="64" t="s">
        <v>205</v>
      </c>
      <c r="C513" s="28" t="s">
        <v>297</v>
      </c>
      <c r="D513" s="83"/>
      <c r="E513" s="83"/>
      <c r="F513" s="82">
        <f t="shared" si="18"/>
        <v>0</v>
      </c>
    </row>
    <row r="514" spans="1:6" ht="12.75">
      <c r="A514" s="27" t="s">
        <v>660</v>
      </c>
      <c r="B514" s="64" t="s">
        <v>205</v>
      </c>
      <c r="C514" s="28" t="s">
        <v>730</v>
      </c>
      <c r="D514" s="82">
        <f>SUM(D515:D516)</f>
        <v>2207000</v>
      </c>
      <c r="E514" s="82">
        <f>SUM(E515:E517)</f>
        <v>2164118.03</v>
      </c>
      <c r="F514" s="82">
        <f t="shared" si="18"/>
        <v>42881.97</v>
      </c>
    </row>
    <row r="515" spans="1:6" ht="12.75">
      <c r="A515" s="25" t="s">
        <v>183</v>
      </c>
      <c r="B515" s="65" t="s">
        <v>205</v>
      </c>
      <c r="C515" s="26" t="s">
        <v>731</v>
      </c>
      <c r="D515" s="83">
        <v>870000</v>
      </c>
      <c r="E515" s="83">
        <v>869381.53</v>
      </c>
      <c r="F515" s="82">
        <f t="shared" si="18"/>
        <v>618.47</v>
      </c>
    </row>
    <row r="516" spans="1:6" ht="12" customHeight="1">
      <c r="A516" s="25" t="s">
        <v>185</v>
      </c>
      <c r="B516" s="65" t="s">
        <v>205</v>
      </c>
      <c r="C516" s="26" t="s">
        <v>732</v>
      </c>
      <c r="D516" s="83">
        <f>1337000-441750+441750</f>
        <v>1337000</v>
      </c>
      <c r="E516" s="83">
        <v>1294736.5</v>
      </c>
      <c r="F516" s="82">
        <f t="shared" si="18"/>
        <v>42263.5</v>
      </c>
    </row>
    <row r="517" spans="1:6" ht="12.75" customHeight="1" hidden="1">
      <c r="A517" s="25" t="s">
        <v>717</v>
      </c>
      <c r="B517" s="65" t="s">
        <v>205</v>
      </c>
      <c r="C517" s="26" t="s">
        <v>733</v>
      </c>
      <c r="D517" s="83"/>
      <c r="E517" s="83"/>
      <c r="F517" s="82">
        <f aca="true" t="shared" si="21" ref="F517:F554">D517-E517</f>
        <v>0</v>
      </c>
    </row>
    <row r="518" spans="1:6" ht="11.25" customHeight="1">
      <c r="A518" s="44" t="s">
        <v>207</v>
      </c>
      <c r="B518" s="63" t="s">
        <v>205</v>
      </c>
      <c r="C518" s="24" t="s">
        <v>734</v>
      </c>
      <c r="D518" s="85">
        <f>D519+D522</f>
        <v>700000</v>
      </c>
      <c r="E518" s="85">
        <f>E519+E522</f>
        <v>700000</v>
      </c>
      <c r="F518" s="82">
        <f t="shared" si="21"/>
        <v>0</v>
      </c>
    </row>
    <row r="519" spans="1:6" ht="13.5" customHeight="1">
      <c r="A519" s="27" t="s">
        <v>178</v>
      </c>
      <c r="B519" s="64" t="s">
        <v>205</v>
      </c>
      <c r="C519" s="28" t="s">
        <v>735</v>
      </c>
      <c r="D519" s="82">
        <f>D520</f>
        <v>700000</v>
      </c>
      <c r="E519" s="82">
        <f>E520</f>
        <v>700000</v>
      </c>
      <c r="F519" s="82">
        <f t="shared" si="21"/>
        <v>0</v>
      </c>
    </row>
    <row r="520" spans="1:6" ht="11.25" customHeight="1">
      <c r="A520" s="27" t="s">
        <v>181</v>
      </c>
      <c r="B520" s="64" t="s">
        <v>205</v>
      </c>
      <c r="C520" s="28" t="s">
        <v>736</v>
      </c>
      <c r="D520" s="82">
        <f>SUM(D521:D521)</f>
        <v>700000</v>
      </c>
      <c r="E520" s="82">
        <f>SUM(E521:E521)</f>
        <v>700000</v>
      </c>
      <c r="F520" s="82">
        <f t="shared" si="21"/>
        <v>0</v>
      </c>
    </row>
    <row r="521" spans="1:6" ht="15.75" customHeight="1">
      <c r="A521" s="27" t="s">
        <v>186</v>
      </c>
      <c r="B521" s="64" t="s">
        <v>205</v>
      </c>
      <c r="C521" s="28" t="s">
        <v>855</v>
      </c>
      <c r="D521" s="83">
        <v>700000</v>
      </c>
      <c r="E521" s="83">
        <v>700000</v>
      </c>
      <c r="F521" s="82">
        <f t="shared" si="21"/>
        <v>0</v>
      </c>
    </row>
    <row r="522" spans="1:6" ht="18" customHeight="1" hidden="1">
      <c r="A522" s="27" t="s">
        <v>189</v>
      </c>
      <c r="B522" s="64" t="s">
        <v>205</v>
      </c>
      <c r="C522" s="28" t="s">
        <v>394</v>
      </c>
      <c r="D522" s="127">
        <f>D523</f>
        <v>0</v>
      </c>
      <c r="E522" s="127">
        <f>E523</f>
        <v>0</v>
      </c>
      <c r="F522" s="82">
        <f t="shared" si="21"/>
        <v>0</v>
      </c>
    </row>
    <row r="523" spans="1:6" ht="20.25" customHeight="1" hidden="1">
      <c r="A523" s="27" t="s">
        <v>190</v>
      </c>
      <c r="B523" s="64" t="s">
        <v>205</v>
      </c>
      <c r="C523" s="28" t="s">
        <v>393</v>
      </c>
      <c r="D523" s="83"/>
      <c r="E523" s="83"/>
      <c r="F523" s="82">
        <f>D523-E523</f>
        <v>0</v>
      </c>
    </row>
    <row r="524" spans="1:6" ht="24.75" customHeight="1">
      <c r="A524" s="42" t="s">
        <v>334</v>
      </c>
      <c r="B524" s="63" t="s">
        <v>205</v>
      </c>
      <c r="C524" s="24" t="s">
        <v>737</v>
      </c>
      <c r="D524" s="85">
        <f>D525</f>
        <v>200000</v>
      </c>
      <c r="E524" s="85">
        <f>E525</f>
        <v>200000</v>
      </c>
      <c r="F524" s="82">
        <f t="shared" si="21"/>
        <v>0</v>
      </c>
    </row>
    <row r="525" spans="1:6" ht="11.25" customHeight="1">
      <c r="A525" s="27" t="s">
        <v>178</v>
      </c>
      <c r="B525" s="64" t="s">
        <v>205</v>
      </c>
      <c r="C525" s="28" t="s">
        <v>738</v>
      </c>
      <c r="D525" s="82">
        <f>D526</f>
        <v>200000</v>
      </c>
      <c r="E525" s="82">
        <f>E526</f>
        <v>200000</v>
      </c>
      <c r="F525" s="82">
        <f t="shared" si="21"/>
        <v>0</v>
      </c>
    </row>
    <row r="526" spans="1:6" ht="11.25" customHeight="1">
      <c r="A526" s="27" t="s">
        <v>181</v>
      </c>
      <c r="B526" s="64" t="s">
        <v>205</v>
      </c>
      <c r="C526" s="28" t="s">
        <v>739</v>
      </c>
      <c r="D526" s="82">
        <f>SUM(D528:D528)</f>
        <v>200000</v>
      </c>
      <c r="E526" s="82">
        <f>SUM(E528:E528)</f>
        <v>200000</v>
      </c>
      <c r="F526" s="82">
        <f t="shared" si="21"/>
        <v>0</v>
      </c>
    </row>
    <row r="527" spans="1:6" ht="15.75" customHeight="1" hidden="1">
      <c r="A527" s="27" t="s">
        <v>185</v>
      </c>
      <c r="B527" s="64"/>
      <c r="C527" s="28" t="s">
        <v>196</v>
      </c>
      <c r="D527" s="82"/>
      <c r="E527" s="82"/>
      <c r="F527" s="82"/>
    </row>
    <row r="528" spans="1:6" ht="11.25" customHeight="1">
      <c r="A528" s="25" t="s">
        <v>186</v>
      </c>
      <c r="B528" s="65" t="s">
        <v>205</v>
      </c>
      <c r="C528" s="26" t="s">
        <v>740</v>
      </c>
      <c r="D528" s="83">
        <v>200000</v>
      </c>
      <c r="E528" s="83">
        <v>200000</v>
      </c>
      <c r="F528" s="82">
        <f t="shared" si="21"/>
        <v>0</v>
      </c>
    </row>
    <row r="529" spans="1:6" ht="15" customHeight="1" hidden="1">
      <c r="A529" s="27" t="s">
        <v>39</v>
      </c>
      <c r="B529" s="64" t="s">
        <v>205</v>
      </c>
      <c r="C529" s="28" t="s">
        <v>249</v>
      </c>
      <c r="D529" s="82">
        <f>SUM(D530:D531)</f>
        <v>0</v>
      </c>
      <c r="E529" s="82">
        <f>SUM(E530:E531)</f>
        <v>0</v>
      </c>
      <c r="F529" s="82">
        <f t="shared" si="21"/>
        <v>0</v>
      </c>
    </row>
    <row r="530" spans="1:6" ht="18" customHeight="1" hidden="1">
      <c r="A530" s="27" t="s">
        <v>40</v>
      </c>
      <c r="B530" s="64" t="s">
        <v>205</v>
      </c>
      <c r="C530" s="28" t="s">
        <v>250</v>
      </c>
      <c r="D530" s="83"/>
      <c r="E530" s="83"/>
      <c r="F530" s="82">
        <f t="shared" si="21"/>
        <v>0</v>
      </c>
    </row>
    <row r="531" spans="1:6" ht="15" customHeight="1" hidden="1">
      <c r="A531" s="27" t="s">
        <v>49</v>
      </c>
      <c r="B531" s="64" t="s">
        <v>205</v>
      </c>
      <c r="C531" s="28" t="s">
        <v>248</v>
      </c>
      <c r="D531" s="83"/>
      <c r="E531" s="83"/>
      <c r="F531" s="82">
        <f t="shared" si="21"/>
        <v>0</v>
      </c>
    </row>
    <row r="532" spans="1:6" ht="27.75" customHeight="1">
      <c r="A532" s="42" t="s">
        <v>827</v>
      </c>
      <c r="B532" s="63" t="s">
        <v>205</v>
      </c>
      <c r="C532" s="24" t="s">
        <v>741</v>
      </c>
      <c r="D532" s="85">
        <f>D533+D536</f>
        <v>400000</v>
      </c>
      <c r="E532" s="85">
        <f>E533+E536</f>
        <v>394167.5</v>
      </c>
      <c r="F532" s="82">
        <f t="shared" si="21"/>
        <v>5832.5</v>
      </c>
    </row>
    <row r="533" spans="1:6" ht="12" customHeight="1">
      <c r="A533" s="27" t="s">
        <v>178</v>
      </c>
      <c r="B533" s="64" t="s">
        <v>205</v>
      </c>
      <c r="C533" s="28" t="s">
        <v>742</v>
      </c>
      <c r="D533" s="82">
        <f>D534</f>
        <v>114000</v>
      </c>
      <c r="E533" s="82">
        <f>E534</f>
        <v>109135</v>
      </c>
      <c r="F533" s="82">
        <f t="shared" si="21"/>
        <v>4865</v>
      </c>
    </row>
    <row r="534" spans="1:6" ht="12" customHeight="1">
      <c r="A534" s="27" t="s">
        <v>181</v>
      </c>
      <c r="B534" s="64" t="s">
        <v>205</v>
      </c>
      <c r="C534" s="28" t="s">
        <v>743</v>
      </c>
      <c r="D534" s="82">
        <f>D535</f>
        <v>114000</v>
      </c>
      <c r="E534" s="82">
        <f>E535</f>
        <v>109135</v>
      </c>
      <c r="F534" s="82">
        <f t="shared" si="21"/>
        <v>4865</v>
      </c>
    </row>
    <row r="535" spans="1:6" ht="12.75" customHeight="1">
      <c r="A535" s="25" t="s">
        <v>186</v>
      </c>
      <c r="B535" s="65" t="s">
        <v>205</v>
      </c>
      <c r="C535" s="26" t="s">
        <v>744</v>
      </c>
      <c r="D535" s="83">
        <v>114000</v>
      </c>
      <c r="E535" s="83">
        <v>109135</v>
      </c>
      <c r="F535" s="82">
        <f t="shared" si="21"/>
        <v>4865</v>
      </c>
    </row>
    <row r="536" spans="1:6" ht="12.75" customHeight="1">
      <c r="A536" s="176" t="s">
        <v>745</v>
      </c>
      <c r="B536" s="178" t="s">
        <v>205</v>
      </c>
      <c r="C536" s="178" t="s">
        <v>747</v>
      </c>
      <c r="D536" s="179">
        <f>D537+D538</f>
        <v>286000</v>
      </c>
      <c r="E536" s="179">
        <f>E537+E538</f>
        <v>285032.5</v>
      </c>
      <c r="F536" s="82">
        <f t="shared" si="21"/>
        <v>967.5</v>
      </c>
    </row>
    <row r="537" spans="1:6" ht="21" customHeight="1">
      <c r="A537" s="25" t="s">
        <v>746</v>
      </c>
      <c r="B537" s="26" t="s">
        <v>205</v>
      </c>
      <c r="C537" s="26" t="s">
        <v>748</v>
      </c>
      <c r="D537" s="83">
        <v>167000</v>
      </c>
      <c r="E537" s="83">
        <v>166765</v>
      </c>
      <c r="F537" s="82">
        <f t="shared" si="21"/>
        <v>235</v>
      </c>
    </row>
    <row r="538" spans="1:6" ht="21" customHeight="1">
      <c r="A538" s="223" t="s">
        <v>191</v>
      </c>
      <c r="B538" s="224" t="s">
        <v>205</v>
      </c>
      <c r="C538" s="224" t="s">
        <v>885</v>
      </c>
      <c r="D538" s="225">
        <v>119000</v>
      </c>
      <c r="E538" s="225">
        <v>118267.5</v>
      </c>
      <c r="F538" s="93">
        <f>D538-E538</f>
        <v>732.5</v>
      </c>
    </row>
    <row r="539" spans="1:6" ht="14.25" customHeight="1">
      <c r="A539" s="226" t="s">
        <v>208</v>
      </c>
      <c r="B539" s="227">
        <v>200</v>
      </c>
      <c r="C539" s="228" t="s">
        <v>749</v>
      </c>
      <c r="D539" s="198">
        <f>D540</f>
        <v>123000</v>
      </c>
      <c r="E539" s="198">
        <f>E540</f>
        <v>123000</v>
      </c>
      <c r="F539" s="198">
        <f>D539-E539</f>
        <v>0</v>
      </c>
    </row>
    <row r="540" spans="1:6" s="19" customFormat="1" ht="28.5" customHeight="1">
      <c r="A540" s="27" t="s">
        <v>750</v>
      </c>
      <c r="B540" s="64" t="s">
        <v>205</v>
      </c>
      <c r="C540" s="28" t="s">
        <v>751</v>
      </c>
      <c r="D540" s="143">
        <f>D541+D545</f>
        <v>123000</v>
      </c>
      <c r="E540" s="143">
        <f>E541+E545</f>
        <v>123000</v>
      </c>
      <c r="F540" s="208">
        <f>D540-E540</f>
        <v>0</v>
      </c>
    </row>
    <row r="541" spans="1:6" s="19" customFormat="1" ht="14.25" customHeight="1">
      <c r="A541" s="27" t="s">
        <v>178</v>
      </c>
      <c r="B541" s="64" t="s">
        <v>205</v>
      </c>
      <c r="C541" s="28" t="s">
        <v>752</v>
      </c>
      <c r="D541" s="82">
        <f>D542+D544</f>
        <v>51430</v>
      </c>
      <c r="E541" s="82">
        <f>E542+E544</f>
        <v>51430</v>
      </c>
      <c r="F541" s="82">
        <f t="shared" si="21"/>
        <v>0</v>
      </c>
    </row>
    <row r="542" spans="1:6" s="19" customFormat="1" ht="15" customHeight="1">
      <c r="A542" s="27" t="s">
        <v>181</v>
      </c>
      <c r="B542" s="77" t="s">
        <v>205</v>
      </c>
      <c r="C542" s="28" t="s">
        <v>753</v>
      </c>
      <c r="D542" s="93">
        <f>D543</f>
        <v>0</v>
      </c>
      <c r="E542" s="93">
        <f>E543</f>
        <v>0</v>
      </c>
      <c r="F542" s="82">
        <f t="shared" si="21"/>
        <v>0</v>
      </c>
    </row>
    <row r="543" spans="1:6" s="19" customFormat="1" ht="12.75" hidden="1">
      <c r="A543" s="25" t="s">
        <v>173</v>
      </c>
      <c r="B543" s="97" t="s">
        <v>205</v>
      </c>
      <c r="C543" s="26" t="s">
        <v>125</v>
      </c>
      <c r="D543" s="91"/>
      <c r="E543" s="91"/>
      <c r="F543" s="82">
        <f t="shared" si="21"/>
        <v>0</v>
      </c>
    </row>
    <row r="544" spans="1:6" ht="12.75">
      <c r="A544" s="25" t="s">
        <v>171</v>
      </c>
      <c r="B544" s="97" t="s">
        <v>205</v>
      </c>
      <c r="C544" s="26" t="s">
        <v>754</v>
      </c>
      <c r="D544" s="91">
        <v>51430</v>
      </c>
      <c r="E544" s="91">
        <v>51430</v>
      </c>
      <c r="F544" s="82">
        <f t="shared" si="21"/>
        <v>0</v>
      </c>
    </row>
    <row r="545" spans="1:6" ht="12.75">
      <c r="A545" s="27" t="s">
        <v>189</v>
      </c>
      <c r="B545" s="77" t="s">
        <v>205</v>
      </c>
      <c r="C545" s="103" t="s">
        <v>755</v>
      </c>
      <c r="D545" s="93">
        <f>D546</f>
        <v>71570</v>
      </c>
      <c r="E545" s="93">
        <f>E546</f>
        <v>71570</v>
      </c>
      <c r="F545" s="93">
        <f t="shared" si="21"/>
        <v>0</v>
      </c>
    </row>
    <row r="546" spans="1:6" ht="22.5">
      <c r="A546" s="25" t="s">
        <v>191</v>
      </c>
      <c r="B546" s="28" t="s">
        <v>205</v>
      </c>
      <c r="C546" s="28" t="s">
        <v>756</v>
      </c>
      <c r="D546" s="78">
        <v>71570</v>
      </c>
      <c r="E546" s="78">
        <v>71570</v>
      </c>
      <c r="F546" s="82">
        <f t="shared" si="21"/>
        <v>0</v>
      </c>
    </row>
    <row r="547" spans="1:8" ht="12.75">
      <c r="A547" s="46" t="s">
        <v>209</v>
      </c>
      <c r="B547" s="99" t="s">
        <v>205</v>
      </c>
      <c r="C547" s="67" t="s">
        <v>210</v>
      </c>
      <c r="D547" s="84">
        <f>D548+D554</f>
        <v>24204381</v>
      </c>
      <c r="E547" s="84">
        <f>E548+E554</f>
        <v>21516751</v>
      </c>
      <c r="F547" s="84">
        <f>D547-E547</f>
        <v>2687630</v>
      </c>
      <c r="H547" s="92"/>
    </row>
    <row r="548" spans="1:6" ht="12.75">
      <c r="A548" s="27" t="s">
        <v>178</v>
      </c>
      <c r="B548" s="64" t="s">
        <v>205</v>
      </c>
      <c r="C548" s="28" t="s">
        <v>211</v>
      </c>
      <c r="D548" s="82">
        <f>D549+D551+D553</f>
        <v>24163609.7</v>
      </c>
      <c r="E548" s="82">
        <f>E549+E551+E553</f>
        <v>21475979.7</v>
      </c>
      <c r="F548" s="82">
        <f t="shared" si="21"/>
        <v>2687630</v>
      </c>
    </row>
    <row r="549" spans="1:6" ht="12.75">
      <c r="A549" s="130" t="s">
        <v>414</v>
      </c>
      <c r="B549" s="64" t="s">
        <v>205</v>
      </c>
      <c r="C549" s="28" t="s">
        <v>417</v>
      </c>
      <c r="D549" s="82">
        <f>D550</f>
        <v>0</v>
      </c>
      <c r="E549" s="82">
        <f>E550</f>
        <v>0</v>
      </c>
      <c r="F549" s="82">
        <f t="shared" si="21"/>
        <v>0</v>
      </c>
    </row>
    <row r="550" spans="1:6" ht="12.75">
      <c r="A550" s="130" t="s">
        <v>173</v>
      </c>
      <c r="B550" s="64" t="s">
        <v>205</v>
      </c>
      <c r="C550" s="28" t="s">
        <v>418</v>
      </c>
      <c r="D550" s="82">
        <f>D637</f>
        <v>0</v>
      </c>
      <c r="E550" s="82">
        <f>E637</f>
        <v>0</v>
      </c>
      <c r="F550" s="82">
        <f t="shared" si="21"/>
        <v>0</v>
      </c>
    </row>
    <row r="551" spans="1:6" s="19" customFormat="1" ht="22.5">
      <c r="A551" s="27" t="s">
        <v>363</v>
      </c>
      <c r="B551" s="64" t="s">
        <v>205</v>
      </c>
      <c r="C551" s="28" t="s">
        <v>364</v>
      </c>
      <c r="D551" s="82">
        <f>D552</f>
        <v>24104381</v>
      </c>
      <c r="E551" s="82">
        <f>E552</f>
        <v>21416751</v>
      </c>
      <c r="F551" s="82">
        <f t="shared" si="21"/>
        <v>2687630</v>
      </c>
    </row>
    <row r="552" spans="1:6" s="19" customFormat="1" ht="22.5">
      <c r="A552" s="27" t="s">
        <v>362</v>
      </c>
      <c r="B552" s="114">
        <v>200</v>
      </c>
      <c r="C552" s="28" t="s">
        <v>365</v>
      </c>
      <c r="D552" s="82">
        <f>D561+D621+D628+D632+D646+D623+D633+D647</f>
        <v>24104381</v>
      </c>
      <c r="E552" s="82">
        <f>E561+E621+E628+E632+E646+E623+E633+E647</f>
        <v>21416751</v>
      </c>
      <c r="F552" s="82">
        <f t="shared" si="21"/>
        <v>2687630</v>
      </c>
    </row>
    <row r="553" spans="1:6" s="19" customFormat="1" ht="12.75">
      <c r="A553" s="27" t="s">
        <v>171</v>
      </c>
      <c r="B553" s="114">
        <v>200</v>
      </c>
      <c r="C553" s="28" t="s">
        <v>391</v>
      </c>
      <c r="D553" s="82">
        <f>D639</f>
        <v>59228.7</v>
      </c>
      <c r="E553" s="82">
        <f>E639</f>
        <v>59228.7</v>
      </c>
      <c r="F553" s="82">
        <f t="shared" si="21"/>
        <v>0</v>
      </c>
    </row>
    <row r="554" spans="1:6" s="19" customFormat="1" ht="12.75">
      <c r="A554" s="27" t="s">
        <v>189</v>
      </c>
      <c r="B554" s="114">
        <v>200</v>
      </c>
      <c r="C554" s="28" t="s">
        <v>819</v>
      </c>
      <c r="D554" s="82">
        <f>D556+D555</f>
        <v>40771.3</v>
      </c>
      <c r="E554" s="82">
        <f>E556+E555</f>
        <v>40771.3</v>
      </c>
      <c r="F554" s="82">
        <f t="shared" si="21"/>
        <v>0</v>
      </c>
    </row>
    <row r="555" spans="1:6" s="19" customFormat="1" ht="22.5">
      <c r="A555" s="27" t="s">
        <v>852</v>
      </c>
      <c r="B555" s="114">
        <v>200</v>
      </c>
      <c r="C555" s="28" t="s">
        <v>853</v>
      </c>
      <c r="D555" s="82">
        <f>D641</f>
        <v>16925</v>
      </c>
      <c r="E555" s="82">
        <f>E641</f>
        <v>16925</v>
      </c>
      <c r="F555" s="82">
        <f>D555-E555</f>
        <v>0</v>
      </c>
    </row>
    <row r="556" spans="1:6" s="19" customFormat="1" ht="22.5">
      <c r="A556" s="27" t="s">
        <v>191</v>
      </c>
      <c r="B556" s="114">
        <v>200</v>
      </c>
      <c r="C556" s="28" t="s">
        <v>212</v>
      </c>
      <c r="D556" s="82">
        <f>D642</f>
        <v>23846.3</v>
      </c>
      <c r="E556" s="82">
        <f>E642</f>
        <v>23846.3</v>
      </c>
      <c r="F556" s="82">
        <f>D556-E556</f>
        <v>0</v>
      </c>
    </row>
    <row r="557" spans="1:6" s="19" customFormat="1" ht="12.75">
      <c r="A557" s="126" t="s">
        <v>268</v>
      </c>
      <c r="B557" s="201">
        <v>200</v>
      </c>
      <c r="C557" s="189" t="s">
        <v>757</v>
      </c>
      <c r="D557" s="190">
        <f>D558+D619</f>
        <v>13736768.8</v>
      </c>
      <c r="E557" s="190">
        <f>E558+E619</f>
        <v>13736768.8</v>
      </c>
      <c r="F557" s="190">
        <f>D557-E557</f>
        <v>0</v>
      </c>
    </row>
    <row r="558" spans="1:6" ht="12.75">
      <c r="A558" s="126" t="s">
        <v>2</v>
      </c>
      <c r="B558" s="155" t="s">
        <v>205</v>
      </c>
      <c r="C558" s="24" t="s">
        <v>758</v>
      </c>
      <c r="D558" s="85">
        <f>D559</f>
        <v>12747775.8</v>
      </c>
      <c r="E558" s="85">
        <f>E559</f>
        <v>12747775.8</v>
      </c>
      <c r="F558" s="85">
        <f>D558-E558</f>
        <v>0</v>
      </c>
    </row>
    <row r="559" spans="1:6" ht="15" customHeight="1">
      <c r="A559" s="27" t="s">
        <v>178</v>
      </c>
      <c r="B559" s="64" t="s">
        <v>205</v>
      </c>
      <c r="C559" s="28" t="s">
        <v>759</v>
      </c>
      <c r="D559" s="82">
        <f>D560</f>
        <v>12747775.8</v>
      </c>
      <c r="E559" s="82">
        <f>E560</f>
        <v>12747775.8</v>
      </c>
      <c r="F559" s="82">
        <f aca="true" t="shared" si="22" ref="F559:F582">D559-E559</f>
        <v>0</v>
      </c>
    </row>
    <row r="560" spans="1:6" ht="19.5" customHeight="1">
      <c r="A560" s="27" t="s">
        <v>363</v>
      </c>
      <c r="B560" s="64" t="s">
        <v>205</v>
      </c>
      <c r="C560" s="28" t="s">
        <v>760</v>
      </c>
      <c r="D560" s="82">
        <f>SUM(D561:D561)</f>
        <v>12747775.8</v>
      </c>
      <c r="E560" s="82">
        <f>SUM(E561:E561)</f>
        <v>12747775.8</v>
      </c>
      <c r="F560" s="82">
        <f t="shared" si="22"/>
        <v>0</v>
      </c>
    </row>
    <row r="561" spans="1:6" ht="23.25" customHeight="1">
      <c r="A561" s="25" t="s">
        <v>362</v>
      </c>
      <c r="B561" s="168">
        <v>200</v>
      </c>
      <c r="C561" s="169" t="s">
        <v>761</v>
      </c>
      <c r="D561" s="83">
        <f>11885000+862775.8</f>
        <v>12747775.8</v>
      </c>
      <c r="E561" s="83">
        <v>12747775.8</v>
      </c>
      <c r="F561" s="82">
        <f t="shared" si="22"/>
        <v>0</v>
      </c>
    </row>
    <row r="562" spans="1:6" ht="17.25" customHeight="1" hidden="1">
      <c r="A562" s="48" t="s">
        <v>239</v>
      </c>
      <c r="B562" s="47" t="s">
        <v>205</v>
      </c>
      <c r="C562" s="24" t="s">
        <v>243</v>
      </c>
      <c r="D562" s="85">
        <f>D563+D578</f>
        <v>0</v>
      </c>
      <c r="E562" s="85">
        <f>E563+E578</f>
        <v>0</v>
      </c>
      <c r="F562" s="82">
        <f t="shared" si="22"/>
        <v>0</v>
      </c>
    </row>
    <row r="563" spans="1:6" ht="17.25" customHeight="1" hidden="1">
      <c r="A563" s="27" t="s">
        <v>178</v>
      </c>
      <c r="B563" s="64" t="s">
        <v>205</v>
      </c>
      <c r="C563" s="28" t="s">
        <v>244</v>
      </c>
      <c r="D563" s="82">
        <f>D564+D568+D575+D577</f>
        <v>0</v>
      </c>
      <c r="E563" s="82">
        <f>E564+E568+E575+E577</f>
        <v>0</v>
      </c>
      <c r="F563" s="82">
        <f t="shared" si="22"/>
        <v>0</v>
      </c>
    </row>
    <row r="564" spans="1:6" ht="15.75" customHeight="1" hidden="1">
      <c r="A564" s="27" t="s">
        <v>179</v>
      </c>
      <c r="B564" s="64" t="s">
        <v>205</v>
      </c>
      <c r="C564" s="28" t="s">
        <v>245</v>
      </c>
      <c r="D564" s="82">
        <f>SUM(D565:D567)</f>
        <v>0</v>
      </c>
      <c r="E564" s="82">
        <f>SUM(E565:E567)</f>
        <v>0</v>
      </c>
      <c r="F564" s="82">
        <f t="shared" si="22"/>
        <v>0</v>
      </c>
    </row>
    <row r="565" spans="1:6" ht="21" customHeight="1" hidden="1">
      <c r="A565" s="27" t="s">
        <v>80</v>
      </c>
      <c r="B565" s="64" t="s">
        <v>205</v>
      </c>
      <c r="C565" s="28" t="s">
        <v>246</v>
      </c>
      <c r="D565" s="83"/>
      <c r="E565" s="83"/>
      <c r="F565" s="82">
        <f t="shared" si="22"/>
        <v>0</v>
      </c>
    </row>
    <row r="566" spans="1:6" ht="18" customHeight="1" hidden="1">
      <c r="A566" s="27" t="s">
        <v>180</v>
      </c>
      <c r="B566" s="64" t="s">
        <v>205</v>
      </c>
      <c r="C566" s="28" t="s">
        <v>247</v>
      </c>
      <c r="D566" s="83"/>
      <c r="E566" s="83"/>
      <c r="F566" s="82">
        <f t="shared" si="22"/>
        <v>0</v>
      </c>
    </row>
    <row r="567" spans="1:6" ht="16.5" customHeight="1" hidden="1">
      <c r="A567" s="27" t="s">
        <v>172</v>
      </c>
      <c r="B567" s="64" t="s">
        <v>205</v>
      </c>
      <c r="C567" s="28" t="s">
        <v>226</v>
      </c>
      <c r="D567" s="83"/>
      <c r="E567" s="83"/>
      <c r="F567" s="82">
        <f t="shared" si="22"/>
        <v>0</v>
      </c>
    </row>
    <row r="568" spans="1:6" ht="18.75" customHeight="1" hidden="1">
      <c r="A568" s="27" t="s">
        <v>181</v>
      </c>
      <c r="B568" s="64" t="s">
        <v>205</v>
      </c>
      <c r="C568" s="28" t="s">
        <v>227</v>
      </c>
      <c r="D568" s="82">
        <f>SUM(D569:D574)</f>
        <v>0</v>
      </c>
      <c r="E568" s="82">
        <f>SUM(E569:E574)</f>
        <v>0</v>
      </c>
      <c r="F568" s="82">
        <f t="shared" si="22"/>
        <v>0</v>
      </c>
    </row>
    <row r="569" spans="1:6" ht="18" customHeight="1" hidden="1">
      <c r="A569" s="27" t="s">
        <v>182</v>
      </c>
      <c r="B569" s="64" t="s">
        <v>205</v>
      </c>
      <c r="C569" s="28" t="s">
        <v>228</v>
      </c>
      <c r="D569" s="83"/>
      <c r="E569" s="83"/>
      <c r="F569" s="82">
        <f t="shared" si="22"/>
        <v>0</v>
      </c>
    </row>
    <row r="570" spans="1:6" ht="17.25" customHeight="1" hidden="1">
      <c r="A570" s="27" t="s">
        <v>173</v>
      </c>
      <c r="B570" s="64" t="s">
        <v>205</v>
      </c>
      <c r="C570" s="28" t="s">
        <v>229</v>
      </c>
      <c r="D570" s="83"/>
      <c r="E570" s="83"/>
      <c r="F570" s="82">
        <f t="shared" si="22"/>
        <v>0</v>
      </c>
    </row>
    <row r="571" spans="1:6" ht="16.5" customHeight="1" hidden="1">
      <c r="A571" s="27" t="s">
        <v>183</v>
      </c>
      <c r="B571" s="64" t="s">
        <v>205</v>
      </c>
      <c r="C571" s="28" t="s">
        <v>230</v>
      </c>
      <c r="D571" s="83"/>
      <c r="E571" s="83"/>
      <c r="F571" s="82">
        <f t="shared" si="22"/>
        <v>0</v>
      </c>
    </row>
    <row r="572" spans="1:6" ht="16.5" customHeight="1" hidden="1">
      <c r="A572" s="27" t="s">
        <v>184</v>
      </c>
      <c r="B572" s="64" t="s">
        <v>205</v>
      </c>
      <c r="C572" s="28" t="s">
        <v>231</v>
      </c>
      <c r="D572" s="83"/>
      <c r="E572" s="83"/>
      <c r="F572" s="82">
        <f t="shared" si="22"/>
        <v>0</v>
      </c>
    </row>
    <row r="573" spans="1:6" ht="19.5" customHeight="1" hidden="1">
      <c r="A573" s="27" t="s">
        <v>185</v>
      </c>
      <c r="B573" s="64" t="s">
        <v>205</v>
      </c>
      <c r="C573" s="28" t="s">
        <v>232</v>
      </c>
      <c r="D573" s="83"/>
      <c r="E573" s="83"/>
      <c r="F573" s="82">
        <f t="shared" si="22"/>
        <v>0</v>
      </c>
    </row>
    <row r="574" spans="1:6" ht="21.75" customHeight="1" hidden="1">
      <c r="A574" s="27" t="s">
        <v>186</v>
      </c>
      <c r="B574" s="64" t="s">
        <v>205</v>
      </c>
      <c r="C574" s="28" t="s">
        <v>233</v>
      </c>
      <c r="D574" s="83"/>
      <c r="E574" s="83"/>
      <c r="F574" s="82">
        <f t="shared" si="22"/>
        <v>0</v>
      </c>
    </row>
    <row r="575" spans="1:6" ht="23.25" customHeight="1" hidden="1">
      <c r="A575" s="27" t="s">
        <v>187</v>
      </c>
      <c r="B575" s="64" t="s">
        <v>205</v>
      </c>
      <c r="C575" s="28" t="s">
        <v>234</v>
      </c>
      <c r="D575" s="82">
        <f>SUM(D576:D576)</f>
        <v>0</v>
      </c>
      <c r="E575" s="82">
        <f>SUM(E576:E576)</f>
        <v>0</v>
      </c>
      <c r="F575" s="82">
        <f t="shared" si="22"/>
        <v>0</v>
      </c>
    </row>
    <row r="576" spans="1:6" ht="25.5" customHeight="1" hidden="1">
      <c r="A576" s="27" t="s">
        <v>188</v>
      </c>
      <c r="B576" s="64" t="s">
        <v>205</v>
      </c>
      <c r="C576" s="28" t="s">
        <v>235</v>
      </c>
      <c r="D576" s="83"/>
      <c r="E576" s="83"/>
      <c r="F576" s="82">
        <f t="shared" si="22"/>
        <v>0</v>
      </c>
    </row>
    <row r="577" spans="1:6" ht="21.75" customHeight="1" hidden="1">
      <c r="A577" s="27" t="s">
        <v>171</v>
      </c>
      <c r="B577" s="64" t="s">
        <v>205</v>
      </c>
      <c r="C577" s="28" t="s">
        <v>236</v>
      </c>
      <c r="D577" s="83"/>
      <c r="E577" s="83"/>
      <c r="F577" s="82">
        <f t="shared" si="22"/>
        <v>0</v>
      </c>
    </row>
    <row r="578" spans="1:6" ht="13.5" customHeight="1" hidden="1">
      <c r="A578" s="27" t="s">
        <v>189</v>
      </c>
      <c r="B578" s="64" t="s">
        <v>205</v>
      </c>
      <c r="C578" s="28" t="s">
        <v>237</v>
      </c>
      <c r="D578" s="82">
        <f>SUM(D579:D580)</f>
        <v>0</v>
      </c>
      <c r="E578" s="82">
        <f>SUM(E579:E580)</f>
        <v>0</v>
      </c>
      <c r="F578" s="82">
        <f t="shared" si="22"/>
        <v>0</v>
      </c>
    </row>
    <row r="579" spans="1:6" ht="15.75" customHeight="1" hidden="1">
      <c r="A579" s="27" t="s">
        <v>190</v>
      </c>
      <c r="B579" s="64" t="s">
        <v>205</v>
      </c>
      <c r="C579" s="28" t="s">
        <v>238</v>
      </c>
      <c r="D579" s="83"/>
      <c r="E579" s="83"/>
      <c r="F579" s="82">
        <f t="shared" si="22"/>
        <v>0</v>
      </c>
    </row>
    <row r="580" spans="1:6" ht="18" customHeight="1" hidden="1">
      <c r="A580" s="27" t="s">
        <v>191</v>
      </c>
      <c r="B580" s="64" t="s">
        <v>205</v>
      </c>
      <c r="C580" s="28" t="s">
        <v>240</v>
      </c>
      <c r="D580" s="83"/>
      <c r="E580" s="83"/>
      <c r="F580" s="82">
        <f t="shared" si="22"/>
        <v>0</v>
      </c>
    </row>
    <row r="581" spans="1:6" ht="1.5" customHeight="1" hidden="1">
      <c r="A581" s="33" t="s">
        <v>220</v>
      </c>
      <c r="B581" s="47" t="s">
        <v>205</v>
      </c>
      <c r="C581" s="24" t="s">
        <v>221</v>
      </c>
      <c r="D581" s="85">
        <f>D582+D597</f>
        <v>0</v>
      </c>
      <c r="E581" s="85">
        <f>E582+E597</f>
        <v>0</v>
      </c>
      <c r="F581" s="82">
        <f t="shared" si="22"/>
        <v>0</v>
      </c>
    </row>
    <row r="582" spans="1:6" ht="19.5" customHeight="1" hidden="1">
      <c r="A582" s="27" t="s">
        <v>178</v>
      </c>
      <c r="B582" s="64" t="s">
        <v>205</v>
      </c>
      <c r="C582" s="28" t="s">
        <v>222</v>
      </c>
      <c r="D582" s="82">
        <f>D583+D587+D594+D596</f>
        <v>0</v>
      </c>
      <c r="E582" s="82">
        <f>E583+E587+E594+E596</f>
        <v>0</v>
      </c>
      <c r="F582" s="82">
        <f t="shared" si="22"/>
        <v>0</v>
      </c>
    </row>
    <row r="583" spans="1:6" ht="19.5" customHeight="1" hidden="1">
      <c r="A583" s="27" t="s">
        <v>179</v>
      </c>
      <c r="B583" s="64" t="s">
        <v>205</v>
      </c>
      <c r="C583" s="28" t="s">
        <v>223</v>
      </c>
      <c r="D583" s="82">
        <f>SUM(D584:D586)</f>
        <v>0</v>
      </c>
      <c r="E583" s="82">
        <f>SUM(E584:E586)</f>
        <v>0</v>
      </c>
      <c r="F583" s="82">
        <f aca="true" t="shared" si="23" ref="F583:F631">D583-E583</f>
        <v>0</v>
      </c>
    </row>
    <row r="584" spans="1:6" ht="21.75" customHeight="1" hidden="1">
      <c r="A584" s="27" t="s">
        <v>80</v>
      </c>
      <c r="B584" s="64" t="s">
        <v>205</v>
      </c>
      <c r="C584" s="28" t="s">
        <v>224</v>
      </c>
      <c r="D584" s="83"/>
      <c r="E584" s="83"/>
      <c r="F584" s="82">
        <f t="shared" si="23"/>
        <v>0</v>
      </c>
    </row>
    <row r="585" spans="1:6" ht="17.25" customHeight="1" hidden="1">
      <c r="A585" s="27" t="s">
        <v>180</v>
      </c>
      <c r="B585" s="64" t="s">
        <v>205</v>
      </c>
      <c r="C585" s="28" t="s">
        <v>254</v>
      </c>
      <c r="D585" s="83"/>
      <c r="E585" s="83"/>
      <c r="F585" s="82">
        <f t="shared" si="23"/>
        <v>0</v>
      </c>
    </row>
    <row r="586" spans="1:6" ht="19.5" customHeight="1" hidden="1">
      <c r="A586" s="27" t="s">
        <v>172</v>
      </c>
      <c r="B586" s="64" t="s">
        <v>205</v>
      </c>
      <c r="C586" s="28" t="s">
        <v>225</v>
      </c>
      <c r="D586" s="83"/>
      <c r="E586" s="83"/>
      <c r="F586" s="82">
        <f t="shared" si="23"/>
        <v>0</v>
      </c>
    </row>
    <row r="587" spans="1:6" ht="23.25" customHeight="1" hidden="1">
      <c r="A587" s="27" t="s">
        <v>181</v>
      </c>
      <c r="B587" s="64" t="s">
        <v>205</v>
      </c>
      <c r="C587" s="28" t="s">
        <v>255</v>
      </c>
      <c r="D587" s="82">
        <f>SUM(D588:D593)</f>
        <v>0</v>
      </c>
      <c r="E587" s="82">
        <f>SUM(E588:E593)</f>
        <v>0</v>
      </c>
      <c r="F587" s="82">
        <f t="shared" si="23"/>
        <v>0</v>
      </c>
    </row>
    <row r="588" spans="1:6" ht="15" customHeight="1" hidden="1">
      <c r="A588" s="27" t="s">
        <v>182</v>
      </c>
      <c r="B588" s="64" t="s">
        <v>205</v>
      </c>
      <c r="C588" s="28" t="s">
        <v>256</v>
      </c>
      <c r="D588" s="83"/>
      <c r="E588" s="83"/>
      <c r="F588" s="82">
        <f t="shared" si="23"/>
        <v>0</v>
      </c>
    </row>
    <row r="589" spans="1:6" ht="18.75" customHeight="1" hidden="1">
      <c r="A589" s="27" t="s">
        <v>173</v>
      </c>
      <c r="B589" s="64" t="s">
        <v>205</v>
      </c>
      <c r="C589" s="28" t="s">
        <v>257</v>
      </c>
      <c r="D589" s="83"/>
      <c r="E589" s="83"/>
      <c r="F589" s="82">
        <f t="shared" si="23"/>
        <v>0</v>
      </c>
    </row>
    <row r="590" spans="1:6" ht="14.25" customHeight="1" hidden="1">
      <c r="A590" s="27" t="s">
        <v>183</v>
      </c>
      <c r="B590" s="64" t="s">
        <v>205</v>
      </c>
      <c r="C590" s="28" t="s">
        <v>258</v>
      </c>
      <c r="D590" s="83"/>
      <c r="E590" s="83"/>
      <c r="F590" s="82">
        <f t="shared" si="23"/>
        <v>0</v>
      </c>
    </row>
    <row r="591" spans="1:6" ht="12" customHeight="1" hidden="1">
      <c r="A591" s="27" t="s">
        <v>184</v>
      </c>
      <c r="B591" s="64" t="s">
        <v>205</v>
      </c>
      <c r="C591" s="28" t="s">
        <v>259</v>
      </c>
      <c r="D591" s="83"/>
      <c r="E591" s="83"/>
      <c r="F591" s="82">
        <f t="shared" si="23"/>
        <v>0</v>
      </c>
    </row>
    <row r="592" spans="1:6" ht="19.5" customHeight="1" hidden="1">
      <c r="A592" s="27" t="s">
        <v>185</v>
      </c>
      <c r="B592" s="64" t="s">
        <v>205</v>
      </c>
      <c r="C592" s="28" t="s">
        <v>260</v>
      </c>
      <c r="D592" s="83"/>
      <c r="E592" s="83"/>
      <c r="F592" s="82">
        <f t="shared" si="23"/>
        <v>0</v>
      </c>
    </row>
    <row r="593" spans="1:6" ht="18" customHeight="1" hidden="1">
      <c r="A593" s="27" t="s">
        <v>186</v>
      </c>
      <c r="B593" s="64" t="s">
        <v>205</v>
      </c>
      <c r="C593" s="28" t="s">
        <v>261</v>
      </c>
      <c r="D593" s="83"/>
      <c r="E593" s="83"/>
      <c r="F593" s="82">
        <f t="shared" si="23"/>
        <v>0</v>
      </c>
    </row>
    <row r="594" spans="1:6" ht="21" customHeight="1" hidden="1">
      <c r="A594" s="27" t="s">
        <v>187</v>
      </c>
      <c r="B594" s="64" t="s">
        <v>205</v>
      </c>
      <c r="C594" s="28" t="s">
        <v>262</v>
      </c>
      <c r="D594" s="82">
        <f>SUM(D595:D595)</f>
        <v>0</v>
      </c>
      <c r="E594" s="82">
        <f>SUM(E595:E595)</f>
        <v>0</v>
      </c>
      <c r="F594" s="82">
        <f t="shared" si="23"/>
        <v>0</v>
      </c>
    </row>
    <row r="595" spans="1:6" s="30" customFormat="1" ht="18" customHeight="1" hidden="1">
      <c r="A595" s="27" t="s">
        <v>188</v>
      </c>
      <c r="B595" s="64" t="s">
        <v>205</v>
      </c>
      <c r="C595" s="28" t="s">
        <v>263</v>
      </c>
      <c r="D595" s="83"/>
      <c r="E595" s="83"/>
      <c r="F595" s="82">
        <f t="shared" si="23"/>
        <v>0</v>
      </c>
    </row>
    <row r="596" spans="1:6" ht="24.75" customHeight="1" hidden="1">
      <c r="A596" s="27" t="s">
        <v>171</v>
      </c>
      <c r="B596" s="64" t="s">
        <v>205</v>
      </c>
      <c r="C596" s="28" t="s">
        <v>264</v>
      </c>
      <c r="D596" s="83"/>
      <c r="E596" s="83"/>
      <c r="F596" s="82">
        <f t="shared" si="23"/>
        <v>0</v>
      </c>
    </row>
    <row r="597" spans="1:6" ht="27.75" customHeight="1" hidden="1">
      <c r="A597" s="27" t="s">
        <v>189</v>
      </c>
      <c r="B597" s="64" t="s">
        <v>205</v>
      </c>
      <c r="C597" s="28" t="s">
        <v>265</v>
      </c>
      <c r="D597" s="82">
        <f>SUM(D598:D599)</f>
        <v>0</v>
      </c>
      <c r="E597" s="82">
        <f>SUM(E598:E599)</f>
        <v>0</v>
      </c>
      <c r="F597" s="82">
        <f t="shared" si="23"/>
        <v>0</v>
      </c>
    </row>
    <row r="598" spans="1:6" ht="17.25" customHeight="1" hidden="1">
      <c r="A598" s="27" t="s">
        <v>190</v>
      </c>
      <c r="B598" s="64" t="s">
        <v>205</v>
      </c>
      <c r="C598" s="28" t="s">
        <v>266</v>
      </c>
      <c r="D598" s="83"/>
      <c r="E598" s="83"/>
      <c r="F598" s="82">
        <f t="shared" si="23"/>
        <v>0</v>
      </c>
    </row>
    <row r="599" spans="1:6" ht="25.5" customHeight="1" hidden="1">
      <c r="A599" s="27" t="s">
        <v>191</v>
      </c>
      <c r="B599" s="64" t="s">
        <v>205</v>
      </c>
      <c r="C599" s="28" t="s">
        <v>267</v>
      </c>
      <c r="D599" s="83"/>
      <c r="E599" s="83"/>
      <c r="F599" s="82">
        <f t="shared" si="23"/>
        <v>0</v>
      </c>
    </row>
    <row r="600" spans="1:6" ht="0.75" customHeight="1" hidden="1">
      <c r="A600" s="43" t="s">
        <v>219</v>
      </c>
      <c r="B600" s="36" t="s">
        <v>205</v>
      </c>
      <c r="C600" s="22" t="s">
        <v>213</v>
      </c>
      <c r="D600" s="86">
        <f>D601+D616</f>
        <v>0</v>
      </c>
      <c r="E600" s="86">
        <f>E601+E616</f>
        <v>0</v>
      </c>
      <c r="F600" s="82">
        <f t="shared" si="23"/>
        <v>0</v>
      </c>
    </row>
    <row r="601" spans="1:6" ht="20.25" customHeight="1" hidden="1">
      <c r="A601" s="27" t="s">
        <v>178</v>
      </c>
      <c r="B601" s="64" t="s">
        <v>205</v>
      </c>
      <c r="C601" s="28" t="s">
        <v>214</v>
      </c>
      <c r="D601" s="82">
        <f>D602+D606+D613+D615</f>
        <v>0</v>
      </c>
      <c r="E601" s="82">
        <f>E602+E606+E613+E615</f>
        <v>0</v>
      </c>
      <c r="F601" s="82">
        <f t="shared" si="23"/>
        <v>0</v>
      </c>
    </row>
    <row r="602" spans="1:6" ht="26.25" customHeight="1" hidden="1">
      <c r="A602" s="27" t="s">
        <v>179</v>
      </c>
      <c r="B602" s="64" t="s">
        <v>205</v>
      </c>
      <c r="C602" s="28" t="s">
        <v>215</v>
      </c>
      <c r="D602" s="82">
        <f>SUM(D603:D605)</f>
        <v>0</v>
      </c>
      <c r="E602" s="82">
        <f>SUM(E603:E605)</f>
        <v>0</v>
      </c>
      <c r="F602" s="82">
        <f t="shared" si="23"/>
        <v>0</v>
      </c>
    </row>
    <row r="603" spans="1:6" ht="23.25" customHeight="1" hidden="1">
      <c r="A603" s="27" t="s">
        <v>80</v>
      </c>
      <c r="B603" s="64" t="s">
        <v>205</v>
      </c>
      <c r="C603" s="28" t="s">
        <v>216</v>
      </c>
      <c r="D603" s="83"/>
      <c r="E603" s="83"/>
      <c r="F603" s="82">
        <f t="shared" si="23"/>
        <v>0</v>
      </c>
    </row>
    <row r="604" spans="1:6" ht="24.75" customHeight="1" hidden="1">
      <c r="A604" s="27" t="s">
        <v>180</v>
      </c>
      <c r="B604" s="64" t="s">
        <v>205</v>
      </c>
      <c r="C604" s="28" t="s">
        <v>217</v>
      </c>
      <c r="D604" s="83"/>
      <c r="E604" s="83"/>
      <c r="F604" s="82">
        <f t="shared" si="23"/>
        <v>0</v>
      </c>
    </row>
    <row r="605" spans="1:6" ht="24" customHeight="1" hidden="1">
      <c r="A605" s="27" t="s">
        <v>172</v>
      </c>
      <c r="B605" s="64" t="s">
        <v>205</v>
      </c>
      <c r="C605" s="28" t="s">
        <v>218</v>
      </c>
      <c r="D605" s="83"/>
      <c r="E605" s="83"/>
      <c r="F605" s="82">
        <f t="shared" si="23"/>
        <v>0</v>
      </c>
    </row>
    <row r="606" spans="1:6" ht="21.75" customHeight="1" hidden="1">
      <c r="A606" s="27" t="s">
        <v>181</v>
      </c>
      <c r="B606" s="64" t="s">
        <v>205</v>
      </c>
      <c r="C606" s="28" t="s">
        <v>269</v>
      </c>
      <c r="D606" s="82">
        <f>SUM(D607:D612)</f>
        <v>0</v>
      </c>
      <c r="E606" s="82">
        <f>SUM(E607:E612)</f>
        <v>0</v>
      </c>
      <c r="F606" s="82">
        <f t="shared" si="23"/>
        <v>0</v>
      </c>
    </row>
    <row r="607" spans="1:6" ht="20.25" customHeight="1" hidden="1">
      <c r="A607" s="27" t="s">
        <v>182</v>
      </c>
      <c r="B607" s="64" t="s">
        <v>205</v>
      </c>
      <c r="C607" s="28" t="s">
        <v>270</v>
      </c>
      <c r="D607" s="83"/>
      <c r="E607" s="83"/>
      <c r="F607" s="82">
        <f t="shared" si="23"/>
        <v>0</v>
      </c>
    </row>
    <row r="608" spans="1:6" ht="18" customHeight="1" hidden="1">
      <c r="A608" s="27" t="s">
        <v>173</v>
      </c>
      <c r="B608" s="64" t="s">
        <v>205</v>
      </c>
      <c r="C608" s="28" t="s">
        <v>271</v>
      </c>
      <c r="D608" s="83"/>
      <c r="E608" s="83"/>
      <c r="F608" s="82">
        <f t="shared" si="23"/>
        <v>0</v>
      </c>
    </row>
    <row r="609" spans="1:6" ht="18.75" customHeight="1" hidden="1">
      <c r="A609" s="27" t="s">
        <v>183</v>
      </c>
      <c r="B609" s="64" t="s">
        <v>205</v>
      </c>
      <c r="C609" s="28" t="s">
        <v>272</v>
      </c>
      <c r="D609" s="83"/>
      <c r="E609" s="83"/>
      <c r="F609" s="82">
        <f t="shared" si="23"/>
        <v>0</v>
      </c>
    </row>
    <row r="610" spans="1:6" ht="20.25" customHeight="1" hidden="1">
      <c r="A610" s="27" t="s">
        <v>184</v>
      </c>
      <c r="B610" s="64" t="s">
        <v>205</v>
      </c>
      <c r="C610" s="28" t="s">
        <v>273</v>
      </c>
      <c r="D610" s="83"/>
      <c r="E610" s="83"/>
      <c r="F610" s="82">
        <f t="shared" si="23"/>
        <v>0</v>
      </c>
    </row>
    <row r="611" spans="1:6" ht="15" customHeight="1" hidden="1">
      <c r="A611" s="27" t="s">
        <v>185</v>
      </c>
      <c r="B611" s="64" t="s">
        <v>205</v>
      </c>
      <c r="C611" s="28" t="s">
        <v>274</v>
      </c>
      <c r="D611" s="83"/>
      <c r="E611" s="83"/>
      <c r="F611" s="82">
        <f t="shared" si="23"/>
        <v>0</v>
      </c>
    </row>
    <row r="612" spans="1:6" ht="17.25" customHeight="1" hidden="1">
      <c r="A612" s="27" t="s">
        <v>186</v>
      </c>
      <c r="B612" s="64" t="s">
        <v>205</v>
      </c>
      <c r="C612" s="28" t="s">
        <v>275</v>
      </c>
      <c r="D612" s="83"/>
      <c r="E612" s="83"/>
      <c r="F612" s="82">
        <f t="shared" si="23"/>
        <v>0</v>
      </c>
    </row>
    <row r="613" spans="1:6" ht="18" customHeight="1" hidden="1">
      <c r="A613" s="27" t="s">
        <v>187</v>
      </c>
      <c r="B613" s="64" t="s">
        <v>205</v>
      </c>
      <c r="C613" s="28" t="s">
        <v>276</v>
      </c>
      <c r="D613" s="82">
        <f>SUM(D614:D614)</f>
        <v>0</v>
      </c>
      <c r="E613" s="82">
        <f>SUM(E614:E614)</f>
        <v>0</v>
      </c>
      <c r="F613" s="82">
        <f t="shared" si="23"/>
        <v>0</v>
      </c>
    </row>
    <row r="614" spans="1:6" ht="11.25" customHeight="1" hidden="1">
      <c r="A614" s="27" t="s">
        <v>188</v>
      </c>
      <c r="B614" s="64" t="s">
        <v>205</v>
      </c>
      <c r="C614" s="28" t="s">
        <v>277</v>
      </c>
      <c r="D614" s="83"/>
      <c r="E614" s="83"/>
      <c r="F614" s="82">
        <f t="shared" si="23"/>
        <v>0</v>
      </c>
    </row>
    <row r="615" spans="1:6" ht="14.25" customHeight="1" hidden="1">
      <c r="A615" s="27" t="s">
        <v>171</v>
      </c>
      <c r="B615" s="64" t="s">
        <v>205</v>
      </c>
      <c r="C615" s="28" t="s">
        <v>278</v>
      </c>
      <c r="D615" s="83"/>
      <c r="E615" s="83"/>
      <c r="F615" s="82">
        <f t="shared" si="23"/>
        <v>0</v>
      </c>
    </row>
    <row r="616" spans="1:6" ht="12.75" hidden="1">
      <c r="A616" s="27" t="s">
        <v>189</v>
      </c>
      <c r="B616" s="64" t="s">
        <v>205</v>
      </c>
      <c r="C616" s="28" t="s">
        <v>279</v>
      </c>
      <c r="D616" s="82">
        <f>SUM(D617:D618)</f>
        <v>0</v>
      </c>
      <c r="E616" s="82">
        <f>SUM(E617:E618)</f>
        <v>0</v>
      </c>
      <c r="F616" s="82">
        <f t="shared" si="23"/>
        <v>0</v>
      </c>
    </row>
    <row r="617" spans="1:6" ht="22.5" hidden="1">
      <c r="A617" s="27" t="s">
        <v>190</v>
      </c>
      <c r="B617" s="64" t="s">
        <v>205</v>
      </c>
      <c r="C617" s="28" t="s">
        <v>280</v>
      </c>
      <c r="D617" s="83"/>
      <c r="E617" s="83"/>
      <c r="F617" s="82">
        <f t="shared" si="23"/>
        <v>0</v>
      </c>
    </row>
    <row r="618" spans="1:6" ht="22.5" hidden="1">
      <c r="A618" s="27" t="s">
        <v>191</v>
      </c>
      <c r="B618" s="64" t="s">
        <v>205</v>
      </c>
      <c r="C618" s="28" t="s">
        <v>281</v>
      </c>
      <c r="D618" s="83"/>
      <c r="E618" s="83"/>
      <c r="F618" s="82">
        <f t="shared" si="23"/>
        <v>0</v>
      </c>
    </row>
    <row r="619" spans="1:6" ht="14.25" customHeight="1">
      <c r="A619" s="199" t="s">
        <v>0</v>
      </c>
      <c r="B619" s="200" t="s">
        <v>205</v>
      </c>
      <c r="C619" s="189" t="s">
        <v>847</v>
      </c>
      <c r="D619" s="190">
        <f>D620+D622</f>
        <v>988993</v>
      </c>
      <c r="E619" s="190">
        <f>E620+E622</f>
        <v>988993</v>
      </c>
      <c r="F619" s="82">
        <f>D619-E619</f>
        <v>0</v>
      </c>
    </row>
    <row r="620" spans="1:6" ht="18" customHeight="1">
      <c r="A620" s="27" t="s">
        <v>363</v>
      </c>
      <c r="B620" s="28" t="s">
        <v>205</v>
      </c>
      <c r="C620" s="28" t="s">
        <v>762</v>
      </c>
      <c r="D620" s="143">
        <f>D621</f>
        <v>948993</v>
      </c>
      <c r="E620" s="143">
        <f>E621</f>
        <v>948993</v>
      </c>
      <c r="F620" s="82">
        <f>D620-E620</f>
        <v>0</v>
      </c>
    </row>
    <row r="621" spans="1:6" ht="18" customHeight="1">
      <c r="A621" s="25" t="s">
        <v>764</v>
      </c>
      <c r="B621" s="168">
        <v>200</v>
      </c>
      <c r="C621" s="169" t="s">
        <v>763</v>
      </c>
      <c r="D621" s="83">
        <v>948993</v>
      </c>
      <c r="E621" s="83">
        <v>948993</v>
      </c>
      <c r="F621" s="83">
        <f>D621-E621</f>
        <v>0</v>
      </c>
    </row>
    <row r="622" spans="1:6" ht="18" customHeight="1">
      <c r="A622" s="27" t="s">
        <v>363</v>
      </c>
      <c r="B622" s="28" t="s">
        <v>205</v>
      </c>
      <c r="C622" s="28" t="s">
        <v>845</v>
      </c>
      <c r="D622" s="143">
        <f>D623</f>
        <v>40000</v>
      </c>
      <c r="E622" s="143">
        <f>E623</f>
        <v>40000</v>
      </c>
      <c r="F622" s="82">
        <f>D622-E622</f>
        <v>0</v>
      </c>
    </row>
    <row r="623" spans="1:6" ht="15" customHeight="1">
      <c r="A623" s="25" t="s">
        <v>848</v>
      </c>
      <c r="B623" s="168">
        <v>200</v>
      </c>
      <c r="C623" s="169" t="s">
        <v>846</v>
      </c>
      <c r="D623" s="83">
        <v>40000</v>
      </c>
      <c r="E623" s="83">
        <v>40000</v>
      </c>
      <c r="F623" s="83">
        <f>D623-E623</f>
        <v>0</v>
      </c>
    </row>
    <row r="624" spans="1:6" ht="12" customHeight="1">
      <c r="A624" s="132" t="s">
        <v>282</v>
      </c>
      <c r="B624" s="47" t="s">
        <v>205</v>
      </c>
      <c r="C624" s="133" t="s">
        <v>757</v>
      </c>
      <c r="D624" s="85">
        <f>D625+D629</f>
        <v>3989982.2</v>
      </c>
      <c r="E624" s="85">
        <f>E625+E629</f>
        <v>3989982.2</v>
      </c>
      <c r="F624" s="82"/>
    </row>
    <row r="625" spans="1:6" ht="12.75">
      <c r="A625" s="132" t="s">
        <v>1</v>
      </c>
      <c r="B625" s="155" t="s">
        <v>205</v>
      </c>
      <c r="C625" s="133" t="s">
        <v>765</v>
      </c>
      <c r="D625" s="85">
        <f>D626</f>
        <v>3983824.2</v>
      </c>
      <c r="E625" s="85">
        <f>E626</f>
        <v>3983824.2</v>
      </c>
      <c r="F625" s="82">
        <f t="shared" si="23"/>
        <v>0</v>
      </c>
    </row>
    <row r="626" spans="1:6" ht="12.75">
      <c r="A626" s="27" t="s">
        <v>178</v>
      </c>
      <c r="B626" s="64" t="s">
        <v>205</v>
      </c>
      <c r="C626" s="28" t="s">
        <v>767</v>
      </c>
      <c r="D626" s="82">
        <f>D627</f>
        <v>3983824.2</v>
      </c>
      <c r="E626" s="82">
        <f>E627</f>
        <v>3983824.2</v>
      </c>
      <c r="F626" s="82">
        <f t="shared" si="23"/>
        <v>0</v>
      </c>
    </row>
    <row r="627" spans="1:6" ht="19.5" customHeight="1">
      <c r="A627" s="27" t="s">
        <v>363</v>
      </c>
      <c r="B627" s="64" t="s">
        <v>205</v>
      </c>
      <c r="C627" s="28" t="s">
        <v>768</v>
      </c>
      <c r="D627" s="82">
        <f>SUM(D628:D628)</f>
        <v>3983824.2</v>
      </c>
      <c r="E627" s="82">
        <f>SUM(E628:E628)</f>
        <v>3983824.2</v>
      </c>
      <c r="F627" s="82">
        <f t="shared" si="23"/>
        <v>0</v>
      </c>
    </row>
    <row r="628" spans="1:6" s="19" customFormat="1" ht="21.75" customHeight="1">
      <c r="A628" s="25" t="s">
        <v>362</v>
      </c>
      <c r="B628" s="168">
        <v>200</v>
      </c>
      <c r="C628" s="169" t="s">
        <v>766</v>
      </c>
      <c r="D628" s="83">
        <f>3370000+613824.2</f>
        <v>3983824.2</v>
      </c>
      <c r="E628" s="83">
        <v>3983824.2</v>
      </c>
      <c r="F628" s="83">
        <f>D628-E628</f>
        <v>0</v>
      </c>
    </row>
    <row r="629" spans="1:6" s="19" customFormat="1" ht="15" customHeight="1">
      <c r="A629" s="131" t="s">
        <v>450</v>
      </c>
      <c r="B629" s="63" t="s">
        <v>205</v>
      </c>
      <c r="C629" s="24" t="s">
        <v>873</v>
      </c>
      <c r="D629" s="85">
        <f>D630</f>
        <v>6158</v>
      </c>
      <c r="E629" s="85">
        <f>E630</f>
        <v>6158</v>
      </c>
      <c r="F629" s="82">
        <f t="shared" si="23"/>
        <v>0</v>
      </c>
    </row>
    <row r="630" spans="1:6" s="19" customFormat="1" ht="12" customHeight="1">
      <c r="A630" s="130" t="s">
        <v>178</v>
      </c>
      <c r="B630" s="64" t="s">
        <v>205</v>
      </c>
      <c r="C630" s="28" t="s">
        <v>872</v>
      </c>
      <c r="D630" s="179">
        <f>D631</f>
        <v>6158</v>
      </c>
      <c r="E630" s="179">
        <f>E631</f>
        <v>6158</v>
      </c>
      <c r="F630" s="82">
        <f t="shared" si="23"/>
        <v>0</v>
      </c>
    </row>
    <row r="631" spans="1:6" s="19" customFormat="1" ht="23.25" customHeight="1">
      <c r="A631" s="202" t="s">
        <v>362</v>
      </c>
      <c r="B631" s="64" t="s">
        <v>205</v>
      </c>
      <c r="C631" s="28" t="s">
        <v>871</v>
      </c>
      <c r="D631" s="179">
        <f>D632+D633</f>
        <v>6158</v>
      </c>
      <c r="E631" s="179">
        <f>E632+E633</f>
        <v>6158</v>
      </c>
      <c r="F631" s="82">
        <f t="shared" si="23"/>
        <v>0</v>
      </c>
    </row>
    <row r="632" spans="1:6" s="19" customFormat="1" ht="15.75" customHeight="1">
      <c r="A632" s="25" t="s">
        <v>850</v>
      </c>
      <c r="B632" s="168">
        <v>200</v>
      </c>
      <c r="C632" s="169" t="s">
        <v>849</v>
      </c>
      <c r="D632" s="83">
        <v>3372</v>
      </c>
      <c r="E632" s="83">
        <v>3372</v>
      </c>
      <c r="F632" s="83">
        <f>D632-E632</f>
        <v>0</v>
      </c>
    </row>
    <row r="633" spans="1:6" s="19" customFormat="1" ht="15.75" customHeight="1">
      <c r="A633" s="25" t="s">
        <v>850</v>
      </c>
      <c r="B633" s="221">
        <v>200</v>
      </c>
      <c r="C633" s="169" t="s">
        <v>870</v>
      </c>
      <c r="D633" s="83">
        <v>2786</v>
      </c>
      <c r="E633" s="83">
        <v>2786</v>
      </c>
      <c r="F633" s="83">
        <f>D633-E633</f>
        <v>0</v>
      </c>
    </row>
    <row r="634" spans="1:21" s="38" customFormat="1" ht="15.75" customHeight="1">
      <c r="A634" s="139" t="s">
        <v>356</v>
      </c>
      <c r="B634" s="47" t="s">
        <v>205</v>
      </c>
      <c r="C634" s="24" t="s">
        <v>769</v>
      </c>
      <c r="D634" s="85">
        <f>D635+D640</f>
        <v>100000</v>
      </c>
      <c r="E634" s="85">
        <f>E635+E640</f>
        <v>100000</v>
      </c>
      <c r="F634" s="82">
        <f aca="true" t="shared" si="24" ref="F634:F664">D634-E634</f>
        <v>0</v>
      </c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 s="38" customFormat="1" ht="15.75" customHeight="1">
      <c r="A635" s="130" t="s">
        <v>178</v>
      </c>
      <c r="B635" s="144">
        <v>200</v>
      </c>
      <c r="C635" s="145" t="s">
        <v>770</v>
      </c>
      <c r="D635" s="146">
        <f>D636+D638</f>
        <v>59228.7</v>
      </c>
      <c r="E635" s="146">
        <f>E636+E638</f>
        <v>59228.7</v>
      </c>
      <c r="F635" s="82">
        <f t="shared" si="24"/>
        <v>0</v>
      </c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 s="38" customFormat="1" ht="13.5" customHeight="1">
      <c r="A636" s="130" t="s">
        <v>414</v>
      </c>
      <c r="B636" s="144">
        <v>200</v>
      </c>
      <c r="C636" s="145" t="s">
        <v>771</v>
      </c>
      <c r="D636" s="146">
        <f>D637</f>
        <v>0</v>
      </c>
      <c r="E636" s="146">
        <f>E637</f>
        <v>0</v>
      </c>
      <c r="F636" s="82">
        <f t="shared" si="24"/>
        <v>0</v>
      </c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 s="38" customFormat="1" ht="12" customHeight="1">
      <c r="A637" s="25" t="s">
        <v>173</v>
      </c>
      <c r="B637" s="18" t="s">
        <v>205</v>
      </c>
      <c r="C637" s="26" t="s">
        <v>772</v>
      </c>
      <c r="D637" s="147">
        <f>10000-10000</f>
        <v>0</v>
      </c>
      <c r="E637" s="147">
        <v>0</v>
      </c>
      <c r="F637" s="147">
        <f>D637-E637</f>
        <v>0</v>
      </c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 s="38" customFormat="1" ht="13.5" customHeight="1">
      <c r="A638" s="130" t="s">
        <v>171</v>
      </c>
      <c r="B638" s="144">
        <v>200</v>
      </c>
      <c r="C638" s="145" t="s">
        <v>818</v>
      </c>
      <c r="D638" s="146">
        <f>D639</f>
        <v>59228.7</v>
      </c>
      <c r="E638" s="146">
        <f>E639</f>
        <v>59228.7</v>
      </c>
      <c r="F638" s="82">
        <f>D638-E638</f>
        <v>0</v>
      </c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 s="38" customFormat="1" ht="12" customHeight="1">
      <c r="A639" s="25" t="s">
        <v>171</v>
      </c>
      <c r="B639" s="18" t="s">
        <v>205</v>
      </c>
      <c r="C639" s="26" t="s">
        <v>818</v>
      </c>
      <c r="D639" s="147">
        <f>22420+10000+7800+19008.7</f>
        <v>59228.7</v>
      </c>
      <c r="E639" s="147">
        <v>59228.7</v>
      </c>
      <c r="F639" s="147">
        <f>D639-E639</f>
        <v>0</v>
      </c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 s="38" customFormat="1" ht="13.5" customHeight="1">
      <c r="A640" s="27" t="s">
        <v>189</v>
      </c>
      <c r="B640" s="64" t="s">
        <v>205</v>
      </c>
      <c r="C640" s="28" t="s">
        <v>773</v>
      </c>
      <c r="D640" s="179">
        <f>SUM(D641:D642)</f>
        <v>40771.3</v>
      </c>
      <c r="E640" s="179">
        <f>SUM(E641:E642)</f>
        <v>40771.3</v>
      </c>
      <c r="F640" s="82">
        <f t="shared" si="24"/>
        <v>0</v>
      </c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 s="38" customFormat="1" ht="18.75" customHeight="1">
      <c r="A641" s="25" t="s">
        <v>190</v>
      </c>
      <c r="B641" s="65" t="s">
        <v>205</v>
      </c>
      <c r="C641" s="26" t="s">
        <v>851</v>
      </c>
      <c r="D641" s="83">
        <f>17000-75</f>
        <v>16925</v>
      </c>
      <c r="E641" s="83">
        <v>16925</v>
      </c>
      <c r="F641" s="83">
        <f>D641-E641</f>
        <v>0</v>
      </c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 s="38" customFormat="1" ht="21" customHeight="1">
      <c r="A642" s="25" t="s">
        <v>191</v>
      </c>
      <c r="B642" s="18" t="s">
        <v>205</v>
      </c>
      <c r="C642" s="26" t="s">
        <v>774</v>
      </c>
      <c r="D642" s="83">
        <f>267580-17000-200000-7800-18933.7</f>
        <v>23846.3</v>
      </c>
      <c r="E642" s="83">
        <v>23846.3</v>
      </c>
      <c r="F642" s="83">
        <f aca="true" t="shared" si="25" ref="F642:F652">D642-E642</f>
        <v>0</v>
      </c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 s="38" customFormat="1" ht="26.25" customHeight="1">
      <c r="A643" s="139" t="s">
        <v>820</v>
      </c>
      <c r="B643" s="47" t="s">
        <v>205</v>
      </c>
      <c r="C643" s="24" t="s">
        <v>893</v>
      </c>
      <c r="D643" s="85">
        <f>D644</f>
        <v>6377630</v>
      </c>
      <c r="E643" s="85">
        <f>E644</f>
        <v>3690000</v>
      </c>
      <c r="F643" s="82">
        <f t="shared" si="25"/>
        <v>2687630</v>
      </c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 s="38" customFormat="1" ht="21.75" customHeight="1">
      <c r="A644" s="176" t="s">
        <v>891</v>
      </c>
      <c r="B644" s="214">
        <v>200</v>
      </c>
      <c r="C644" s="218" t="s">
        <v>892</v>
      </c>
      <c r="D644" s="219">
        <f>D645</f>
        <v>6377630</v>
      </c>
      <c r="E644" s="219">
        <f>E645</f>
        <v>3690000</v>
      </c>
      <c r="F644" s="179">
        <f t="shared" si="25"/>
        <v>2687630</v>
      </c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 s="38" customFormat="1" ht="22.5" customHeight="1">
      <c r="A645" s="215" t="s">
        <v>821</v>
      </c>
      <c r="B645" s="214">
        <v>200</v>
      </c>
      <c r="C645" s="218" t="s">
        <v>889</v>
      </c>
      <c r="D645" s="219">
        <f>D646+D647</f>
        <v>6377630</v>
      </c>
      <c r="E645" s="219">
        <f>E646+E647</f>
        <v>3690000</v>
      </c>
      <c r="F645" s="179">
        <f>D645-E645</f>
        <v>2687630</v>
      </c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 s="38" customFormat="1" ht="57.75" customHeight="1">
      <c r="A646" s="25" t="s">
        <v>890</v>
      </c>
      <c r="B646" s="213">
        <v>200</v>
      </c>
      <c r="C646" s="217" t="s">
        <v>822</v>
      </c>
      <c r="D646" s="216">
        <f>6800000-2312370</f>
        <v>4487630</v>
      </c>
      <c r="E646" s="216">
        <v>1800000</v>
      </c>
      <c r="F646" s="83">
        <f t="shared" si="25"/>
        <v>2687630</v>
      </c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 s="38" customFormat="1" ht="35.25" customHeight="1">
      <c r="A647" s="223" t="s">
        <v>887</v>
      </c>
      <c r="B647" s="230">
        <v>200</v>
      </c>
      <c r="C647" s="229" t="s">
        <v>888</v>
      </c>
      <c r="D647" s="216">
        <v>1890000</v>
      </c>
      <c r="E647" s="216">
        <v>1890000</v>
      </c>
      <c r="F647" s="83">
        <f>D647-E647</f>
        <v>0</v>
      </c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 s="38" customFormat="1" ht="34.5" customHeight="1">
      <c r="A648" s="174" t="s">
        <v>252</v>
      </c>
      <c r="B648" s="68" t="s">
        <v>205</v>
      </c>
      <c r="C648" s="69" t="s">
        <v>197</v>
      </c>
      <c r="D648" s="84">
        <f aca="true" t="shared" si="26" ref="D648:E651">D649</f>
        <v>718000</v>
      </c>
      <c r="E648" s="84">
        <f t="shared" si="26"/>
        <v>714780.42</v>
      </c>
      <c r="F648" s="84">
        <f t="shared" si="25"/>
        <v>3219.58</v>
      </c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 s="38" customFormat="1" ht="21" customHeight="1">
      <c r="A649" s="101" t="s">
        <v>251</v>
      </c>
      <c r="B649" s="41" t="s">
        <v>205</v>
      </c>
      <c r="C649" s="24" t="s">
        <v>775</v>
      </c>
      <c r="D649" s="85">
        <f t="shared" si="26"/>
        <v>718000</v>
      </c>
      <c r="E649" s="85">
        <f t="shared" si="26"/>
        <v>714780.42</v>
      </c>
      <c r="F649" s="85">
        <f t="shared" si="25"/>
        <v>3219.58</v>
      </c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 s="38" customFormat="1" ht="13.5" customHeight="1">
      <c r="A650" s="27" t="s">
        <v>178</v>
      </c>
      <c r="B650" s="64" t="s">
        <v>205</v>
      </c>
      <c r="C650" s="28" t="s">
        <v>776</v>
      </c>
      <c r="D650" s="78">
        <f t="shared" si="26"/>
        <v>718000</v>
      </c>
      <c r="E650" s="78">
        <f t="shared" si="26"/>
        <v>714780.42</v>
      </c>
      <c r="F650" s="82">
        <f t="shared" si="25"/>
        <v>3219.58</v>
      </c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 s="38" customFormat="1" ht="21.75" customHeight="1">
      <c r="A651" s="27" t="s">
        <v>188</v>
      </c>
      <c r="B651" s="64" t="s">
        <v>205</v>
      </c>
      <c r="C651" s="28" t="s">
        <v>777</v>
      </c>
      <c r="D651" s="78">
        <f t="shared" si="26"/>
        <v>718000</v>
      </c>
      <c r="E651" s="78">
        <f t="shared" si="26"/>
        <v>714780.42</v>
      </c>
      <c r="F651" s="82">
        <f t="shared" si="25"/>
        <v>3219.58</v>
      </c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 s="38" customFormat="1" ht="21" customHeight="1">
      <c r="A652" s="27" t="s">
        <v>149</v>
      </c>
      <c r="B652" s="28" t="s">
        <v>205</v>
      </c>
      <c r="C652" s="28" t="s">
        <v>778</v>
      </c>
      <c r="D652" s="78">
        <f>570000-352000+500000</f>
        <v>718000</v>
      </c>
      <c r="E652" s="78">
        <v>714780.42</v>
      </c>
      <c r="F652" s="82">
        <f t="shared" si="25"/>
        <v>3219.58</v>
      </c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 s="38" customFormat="1" ht="14.25" customHeight="1">
      <c r="A653" s="98" t="s">
        <v>335</v>
      </c>
      <c r="B653" s="106" t="s">
        <v>205</v>
      </c>
      <c r="C653" s="67" t="s">
        <v>336</v>
      </c>
      <c r="D653" s="84">
        <f>D654</f>
        <v>3205000</v>
      </c>
      <c r="E653" s="84">
        <f>E654</f>
        <v>3203568</v>
      </c>
      <c r="F653" s="82">
        <f t="shared" si="24"/>
        <v>1432</v>
      </c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 s="38" customFormat="1" ht="15" customHeight="1">
      <c r="A654" s="203" t="s">
        <v>283</v>
      </c>
      <c r="B654" s="155" t="s">
        <v>205</v>
      </c>
      <c r="C654" s="24" t="s">
        <v>337</v>
      </c>
      <c r="D654" s="85">
        <f>D655+D661</f>
        <v>3205000</v>
      </c>
      <c r="E654" s="85">
        <f>E655+E661</f>
        <v>3203568</v>
      </c>
      <c r="F654" s="82">
        <f t="shared" si="24"/>
        <v>1432</v>
      </c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 s="38" customFormat="1" ht="15" customHeight="1">
      <c r="A655" s="27" t="s">
        <v>178</v>
      </c>
      <c r="B655" s="64" t="s">
        <v>205</v>
      </c>
      <c r="C655" s="28" t="s">
        <v>779</v>
      </c>
      <c r="D655" s="82">
        <f>D656+D658+D660</f>
        <v>3083000</v>
      </c>
      <c r="E655" s="82">
        <f>E656+E658+E660</f>
        <v>3081590</v>
      </c>
      <c r="F655" s="82">
        <f t="shared" si="24"/>
        <v>1410</v>
      </c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 s="38" customFormat="1" ht="15.75" customHeight="1">
      <c r="A656" s="27" t="s">
        <v>181</v>
      </c>
      <c r="B656" s="64" t="s">
        <v>205</v>
      </c>
      <c r="C656" s="28" t="s">
        <v>780</v>
      </c>
      <c r="D656" s="82">
        <f>D657</f>
        <v>7000</v>
      </c>
      <c r="E656" s="82">
        <f>E657</f>
        <v>6240</v>
      </c>
      <c r="F656" s="82">
        <f t="shared" si="24"/>
        <v>760</v>
      </c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 s="38" customFormat="1" ht="13.5" customHeight="1">
      <c r="A657" s="27" t="s">
        <v>173</v>
      </c>
      <c r="B657" s="64" t="s">
        <v>205</v>
      </c>
      <c r="C657" s="28" t="s">
        <v>781</v>
      </c>
      <c r="D657" s="82">
        <f>D672</f>
        <v>7000</v>
      </c>
      <c r="E657" s="82">
        <f>E672</f>
        <v>6240</v>
      </c>
      <c r="F657" s="82">
        <f t="shared" si="24"/>
        <v>760</v>
      </c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6" ht="21" customHeight="1">
      <c r="A658" s="27" t="s">
        <v>363</v>
      </c>
      <c r="B658" s="64" t="s">
        <v>205</v>
      </c>
      <c r="C658" s="28" t="s">
        <v>783</v>
      </c>
      <c r="D658" s="82">
        <f>D659</f>
        <v>3000000</v>
      </c>
      <c r="E658" s="82">
        <f>E659</f>
        <v>3000000</v>
      </c>
      <c r="F658" s="82">
        <f t="shared" si="24"/>
        <v>0</v>
      </c>
    </row>
    <row r="659" spans="1:6" ht="24" customHeight="1">
      <c r="A659" s="27" t="s">
        <v>40</v>
      </c>
      <c r="B659" s="64" t="s">
        <v>205</v>
      </c>
      <c r="C659" s="28" t="s">
        <v>784</v>
      </c>
      <c r="D659" s="82">
        <f>D666+D668</f>
        <v>3000000</v>
      </c>
      <c r="E659" s="82">
        <f>E666+E668</f>
        <v>3000000</v>
      </c>
      <c r="F659" s="82">
        <f t="shared" si="24"/>
        <v>0</v>
      </c>
    </row>
    <row r="660" spans="1:6" ht="12" customHeight="1">
      <c r="A660" s="27" t="s">
        <v>171</v>
      </c>
      <c r="B660" s="64" t="s">
        <v>205</v>
      </c>
      <c r="C660" s="28" t="s">
        <v>785</v>
      </c>
      <c r="D660" s="82">
        <f>D673</f>
        <v>76000</v>
      </c>
      <c r="E660" s="82">
        <f>E673</f>
        <v>75350</v>
      </c>
      <c r="F660" s="82">
        <f t="shared" si="24"/>
        <v>650</v>
      </c>
    </row>
    <row r="661" spans="1:6" ht="12" customHeight="1">
      <c r="A661" s="27" t="s">
        <v>189</v>
      </c>
      <c r="B661" s="28" t="s">
        <v>205</v>
      </c>
      <c r="C661" s="28" t="s">
        <v>782</v>
      </c>
      <c r="D661" s="82">
        <f>D662</f>
        <v>122000</v>
      </c>
      <c r="E661" s="82">
        <f>E662</f>
        <v>121978</v>
      </c>
      <c r="F661" s="82">
        <f t="shared" si="24"/>
        <v>22</v>
      </c>
    </row>
    <row r="662" spans="1:6" ht="24.75" customHeight="1">
      <c r="A662" s="27" t="s">
        <v>191</v>
      </c>
      <c r="B662" s="28" t="s">
        <v>205</v>
      </c>
      <c r="C662" s="28" t="s">
        <v>786</v>
      </c>
      <c r="D662" s="82">
        <f>D675</f>
        <v>122000</v>
      </c>
      <c r="E662" s="82">
        <f>E675</f>
        <v>121978</v>
      </c>
      <c r="F662" s="82">
        <f t="shared" si="24"/>
        <v>22</v>
      </c>
    </row>
    <row r="663" spans="1:6" ht="16.5" customHeight="1">
      <c r="A663" s="34" t="s">
        <v>787</v>
      </c>
      <c r="B663" s="24" t="s">
        <v>205</v>
      </c>
      <c r="C663" s="204" t="s">
        <v>788</v>
      </c>
      <c r="D663" s="140">
        <f aca="true" t="shared" si="27" ref="D663:E665">D664</f>
        <v>3000000</v>
      </c>
      <c r="E663" s="85">
        <f t="shared" si="27"/>
        <v>3000000</v>
      </c>
      <c r="F663" s="82">
        <f t="shared" si="24"/>
        <v>0</v>
      </c>
    </row>
    <row r="664" spans="1:6" ht="12.75" customHeight="1">
      <c r="A664" s="27" t="s">
        <v>3</v>
      </c>
      <c r="B664" s="64" t="s">
        <v>205</v>
      </c>
      <c r="C664" s="28" t="s">
        <v>789</v>
      </c>
      <c r="D664" s="82">
        <f t="shared" si="27"/>
        <v>3000000</v>
      </c>
      <c r="E664" s="82">
        <f t="shared" si="27"/>
        <v>3000000</v>
      </c>
      <c r="F664" s="82">
        <f t="shared" si="24"/>
        <v>0</v>
      </c>
    </row>
    <row r="665" spans="1:6" ht="23.25" customHeight="1">
      <c r="A665" s="27" t="s">
        <v>363</v>
      </c>
      <c r="B665" s="64" t="s">
        <v>205</v>
      </c>
      <c r="C665" s="28" t="s">
        <v>790</v>
      </c>
      <c r="D665" s="179">
        <f t="shared" si="27"/>
        <v>3000000</v>
      </c>
      <c r="E665" s="179">
        <f t="shared" si="27"/>
        <v>3000000</v>
      </c>
      <c r="F665" s="82">
        <f aca="true" t="shared" si="28" ref="F665:F675">D665-E665</f>
        <v>0</v>
      </c>
    </row>
    <row r="666" spans="1:6" ht="23.25" customHeight="1">
      <c r="A666" s="25" t="s">
        <v>362</v>
      </c>
      <c r="B666" s="65" t="s">
        <v>205</v>
      </c>
      <c r="C666" s="26" t="s">
        <v>791</v>
      </c>
      <c r="D666" s="83">
        <v>3000000</v>
      </c>
      <c r="E666" s="83">
        <v>3000000</v>
      </c>
      <c r="F666" s="82">
        <f t="shared" si="28"/>
        <v>0</v>
      </c>
    </row>
    <row r="667" spans="1:6" ht="16.5" customHeight="1">
      <c r="A667" s="27" t="s">
        <v>4</v>
      </c>
      <c r="B667" s="64" t="s">
        <v>205</v>
      </c>
      <c r="C667" s="28" t="s">
        <v>792</v>
      </c>
      <c r="D667" s="82">
        <f>D668</f>
        <v>0</v>
      </c>
      <c r="E667" s="82">
        <f>E668</f>
        <v>0</v>
      </c>
      <c r="F667" s="82">
        <f t="shared" si="28"/>
        <v>0</v>
      </c>
    </row>
    <row r="668" spans="1:6" s="19" customFormat="1" ht="22.5" customHeight="1">
      <c r="A668" s="25" t="s">
        <v>362</v>
      </c>
      <c r="B668" s="65" t="s">
        <v>205</v>
      </c>
      <c r="C668" s="26" t="s">
        <v>793</v>
      </c>
      <c r="D668" s="83"/>
      <c r="E668" s="83"/>
      <c r="F668" s="82">
        <f t="shared" si="28"/>
        <v>0</v>
      </c>
    </row>
    <row r="669" spans="1:6" s="19" customFormat="1" ht="25.5" customHeight="1">
      <c r="A669" s="27" t="s">
        <v>5</v>
      </c>
      <c r="B669" s="64" t="s">
        <v>205</v>
      </c>
      <c r="C669" s="28" t="s">
        <v>794</v>
      </c>
      <c r="D669" s="82">
        <f>D670+D674</f>
        <v>205000</v>
      </c>
      <c r="E669" s="82">
        <f>E670+E674</f>
        <v>203568</v>
      </c>
      <c r="F669" s="82">
        <f t="shared" si="28"/>
        <v>1432</v>
      </c>
    </row>
    <row r="670" spans="1:6" s="19" customFormat="1" ht="12.75" customHeight="1">
      <c r="A670" s="27" t="s">
        <v>178</v>
      </c>
      <c r="B670" s="64" t="s">
        <v>205</v>
      </c>
      <c r="C670" s="28" t="s">
        <v>796</v>
      </c>
      <c r="D670" s="179">
        <f>D673+D671</f>
        <v>83000</v>
      </c>
      <c r="E670" s="179">
        <f>E673+E671</f>
        <v>81590</v>
      </c>
      <c r="F670" s="82">
        <f t="shared" si="28"/>
        <v>1410</v>
      </c>
    </row>
    <row r="671" spans="1:6" s="19" customFormat="1" ht="12.75" customHeight="1">
      <c r="A671" s="25" t="s">
        <v>652</v>
      </c>
      <c r="B671" s="65" t="s">
        <v>205</v>
      </c>
      <c r="C671" s="26" t="s">
        <v>795</v>
      </c>
      <c r="D671" s="83">
        <f>D672</f>
        <v>7000</v>
      </c>
      <c r="E671" s="83">
        <f>E672</f>
        <v>6240</v>
      </c>
      <c r="F671" s="82">
        <f t="shared" si="28"/>
        <v>760</v>
      </c>
    </row>
    <row r="672" spans="1:6" s="19" customFormat="1" ht="12.75" customHeight="1">
      <c r="A672" s="25" t="s">
        <v>173</v>
      </c>
      <c r="B672" s="65" t="s">
        <v>205</v>
      </c>
      <c r="C672" s="26" t="s">
        <v>797</v>
      </c>
      <c r="D672" s="83">
        <v>7000</v>
      </c>
      <c r="E672" s="83">
        <v>6240</v>
      </c>
      <c r="F672" s="82">
        <f t="shared" si="28"/>
        <v>760</v>
      </c>
    </row>
    <row r="673" spans="1:6" s="19" customFormat="1" ht="14.25" customHeight="1">
      <c r="A673" s="25" t="s">
        <v>171</v>
      </c>
      <c r="B673" s="65" t="s">
        <v>205</v>
      </c>
      <c r="C673" s="26" t="s">
        <v>798</v>
      </c>
      <c r="D673" s="83">
        <v>76000</v>
      </c>
      <c r="E673" s="83">
        <v>75350</v>
      </c>
      <c r="F673" s="82">
        <f t="shared" si="28"/>
        <v>650</v>
      </c>
    </row>
    <row r="674" spans="1:6" s="19" customFormat="1" ht="14.25" customHeight="1">
      <c r="A674" s="176" t="s">
        <v>189</v>
      </c>
      <c r="B674" s="206" t="s">
        <v>205</v>
      </c>
      <c r="C674" s="178" t="s">
        <v>799</v>
      </c>
      <c r="D674" s="179">
        <f>D675</f>
        <v>122000</v>
      </c>
      <c r="E674" s="179">
        <f>E675</f>
        <v>121978</v>
      </c>
      <c r="F674" s="82">
        <f t="shared" si="28"/>
        <v>22</v>
      </c>
    </row>
    <row r="675" spans="1:6" s="19" customFormat="1" ht="22.5" customHeight="1">
      <c r="A675" s="25" t="s">
        <v>191</v>
      </c>
      <c r="B675" s="207" t="s">
        <v>205</v>
      </c>
      <c r="C675" s="26" t="s">
        <v>800</v>
      </c>
      <c r="D675" s="83">
        <v>122000</v>
      </c>
      <c r="E675" s="83">
        <v>121978</v>
      </c>
      <c r="F675" s="82">
        <f t="shared" si="28"/>
        <v>22</v>
      </c>
    </row>
    <row r="676" spans="1:8" ht="12.75">
      <c r="A676" s="205" t="s">
        <v>198</v>
      </c>
      <c r="B676" s="206" t="s">
        <v>199</v>
      </c>
      <c r="C676" s="178" t="s">
        <v>200</v>
      </c>
      <c r="D676" s="179">
        <f>D15-D102</f>
        <v>-5438186.71</v>
      </c>
      <c r="E676" s="179">
        <f>E15-E102</f>
        <v>-3484368.83</v>
      </c>
      <c r="F676" s="82">
        <f>D676-E676</f>
        <v>-1953817.88</v>
      </c>
      <c r="H676" s="92"/>
    </row>
    <row r="677" spans="1:6" ht="12.75">
      <c r="A677" s="51"/>
      <c r="B677" s="52"/>
      <c r="C677" s="111"/>
      <c r="D677" s="112"/>
      <c r="E677" s="113"/>
      <c r="F677" s="113"/>
    </row>
    <row r="678" spans="2:4" ht="10.5" customHeight="1">
      <c r="B678" s="50" t="s">
        <v>201</v>
      </c>
      <c r="C678" s="50"/>
      <c r="D678" s="50"/>
    </row>
    <row r="679" spans="1:8" s="19" customFormat="1" ht="21" customHeight="1">
      <c r="A679" s="53" t="s">
        <v>309</v>
      </c>
      <c r="B679" s="58">
        <v>500</v>
      </c>
      <c r="C679" s="141" t="s">
        <v>399</v>
      </c>
      <c r="D679" s="82">
        <f>D688+D690</f>
        <v>5438186.71</v>
      </c>
      <c r="E679" s="82">
        <f>E688+E690</f>
        <v>3484368.83</v>
      </c>
      <c r="F679" s="82">
        <f aca="true" t="shared" si="29" ref="F679:F685">D679-E679</f>
        <v>1953817.88</v>
      </c>
      <c r="H679" s="148"/>
    </row>
    <row r="680" spans="1:6" s="19" customFormat="1" ht="36" customHeight="1">
      <c r="A680" s="53" t="s">
        <v>410</v>
      </c>
      <c r="B680" s="58" t="s">
        <v>407</v>
      </c>
      <c r="C680" s="141" t="s">
        <v>286</v>
      </c>
      <c r="D680" s="82">
        <f>D681+D687</f>
        <v>5438186.71</v>
      </c>
      <c r="E680" s="82">
        <f>E681+E687</f>
        <v>3484368.83</v>
      </c>
      <c r="F680" s="82">
        <f>D680-E680</f>
        <v>1953817.88</v>
      </c>
    </row>
    <row r="681" spans="1:6" s="19" customFormat="1" ht="25.5" customHeight="1" hidden="1">
      <c r="A681" s="53" t="s">
        <v>404</v>
      </c>
      <c r="B681" s="58"/>
      <c r="C681" s="141" t="s">
        <v>398</v>
      </c>
      <c r="D681" s="82">
        <f>D682+D684</f>
        <v>0</v>
      </c>
      <c r="E681" s="82">
        <f>E682+E684</f>
        <v>0</v>
      </c>
      <c r="F681" s="82">
        <f t="shared" si="29"/>
        <v>0</v>
      </c>
    </row>
    <row r="682" spans="1:6" s="19" customFormat="1" ht="36" customHeight="1" hidden="1">
      <c r="A682" s="53" t="s">
        <v>405</v>
      </c>
      <c r="B682" s="58"/>
      <c r="C682" s="141" t="s">
        <v>400</v>
      </c>
      <c r="D682" s="127">
        <f>D683</f>
        <v>0</v>
      </c>
      <c r="E682" s="127">
        <f>E683</f>
        <v>0</v>
      </c>
      <c r="F682" s="82">
        <f t="shared" si="29"/>
        <v>0</v>
      </c>
    </row>
    <row r="683" spans="1:6" s="19" customFormat="1" ht="34.5" customHeight="1" hidden="1">
      <c r="A683" s="54" t="s">
        <v>405</v>
      </c>
      <c r="B683" s="17"/>
      <c r="C683" s="142" t="s">
        <v>401</v>
      </c>
      <c r="D683" s="127">
        <v>0</v>
      </c>
      <c r="E683" s="127">
        <v>0</v>
      </c>
      <c r="F683" s="82">
        <f t="shared" si="29"/>
        <v>0</v>
      </c>
    </row>
    <row r="684" spans="1:6" s="19" customFormat="1" ht="36" customHeight="1" hidden="1">
      <c r="A684" s="53" t="s">
        <v>402</v>
      </c>
      <c r="B684" s="58"/>
      <c r="C684" s="141" t="s">
        <v>406</v>
      </c>
      <c r="D684" s="82">
        <f>D685</f>
        <v>0</v>
      </c>
      <c r="E684" s="82">
        <f>E685</f>
        <v>0</v>
      </c>
      <c r="F684" s="82">
        <f t="shared" si="29"/>
        <v>0</v>
      </c>
    </row>
    <row r="685" spans="1:6" s="19" customFormat="1" ht="36.75" customHeight="1" hidden="1">
      <c r="A685" s="54" t="s">
        <v>402</v>
      </c>
      <c r="B685" s="59"/>
      <c r="C685" s="142" t="s">
        <v>403</v>
      </c>
      <c r="D685" s="127">
        <v>0</v>
      </c>
      <c r="E685" s="127">
        <v>0</v>
      </c>
      <c r="F685" s="82">
        <f t="shared" si="29"/>
        <v>0</v>
      </c>
    </row>
    <row r="686" spans="1:6" s="19" customFormat="1" ht="27" customHeight="1" hidden="1">
      <c r="A686" s="53" t="s">
        <v>411</v>
      </c>
      <c r="B686" s="59" t="s">
        <v>412</v>
      </c>
      <c r="C686" s="142" t="s">
        <v>286</v>
      </c>
      <c r="D686" s="127">
        <v>0</v>
      </c>
      <c r="E686" s="127">
        <v>0</v>
      </c>
      <c r="F686" s="82">
        <v>0</v>
      </c>
    </row>
    <row r="687" spans="1:6" s="19" customFormat="1" ht="13.5" customHeight="1">
      <c r="A687" s="54" t="s">
        <v>408</v>
      </c>
      <c r="B687" s="59" t="s">
        <v>409</v>
      </c>
      <c r="C687" s="142" t="s">
        <v>286</v>
      </c>
      <c r="D687" s="127">
        <f>D690+D688</f>
        <v>5438186.71</v>
      </c>
      <c r="E687" s="127">
        <f>E690+E688</f>
        <v>3484368.83</v>
      </c>
      <c r="F687" s="127">
        <f>D687-E687</f>
        <v>1953817.88</v>
      </c>
    </row>
    <row r="688" spans="1:6" ht="19.5" customHeight="1">
      <c r="A688" s="209" t="s">
        <v>310</v>
      </c>
      <c r="B688" s="58">
        <v>710</v>
      </c>
      <c r="C688" s="141" t="s">
        <v>10</v>
      </c>
      <c r="D688" s="82">
        <f>D689</f>
        <v>-65273070</v>
      </c>
      <c r="E688" s="82">
        <f>E689</f>
        <v>-63122199.06</v>
      </c>
      <c r="F688" s="124">
        <f aca="true" t="shared" si="30" ref="F688:F694">D688-E688</f>
        <v>-2150870.94</v>
      </c>
    </row>
    <row r="689" spans="1:6" ht="21.75" customHeight="1">
      <c r="A689" s="54" t="s">
        <v>310</v>
      </c>
      <c r="B689" s="59">
        <v>710</v>
      </c>
      <c r="C689" s="142" t="s">
        <v>11</v>
      </c>
      <c r="D689" s="82">
        <f>-D15+D683</f>
        <v>-65273070</v>
      </c>
      <c r="E689" s="82">
        <f>-E15+E683</f>
        <v>-63122199.06</v>
      </c>
      <c r="F689" s="124">
        <f t="shared" si="30"/>
        <v>-2150870.94</v>
      </c>
    </row>
    <row r="690" spans="1:6" ht="20.25" customHeight="1">
      <c r="A690" s="53" t="s">
        <v>311</v>
      </c>
      <c r="B690" s="58">
        <v>720</v>
      </c>
      <c r="C690" s="141" t="s">
        <v>12</v>
      </c>
      <c r="D690" s="82">
        <f>D691</f>
        <v>70711256.71</v>
      </c>
      <c r="E690" s="82">
        <f>E691</f>
        <v>66606567.89</v>
      </c>
      <c r="F690" s="82">
        <f t="shared" si="30"/>
        <v>4104688.82</v>
      </c>
    </row>
    <row r="691" spans="1:6" ht="21.75" customHeight="1">
      <c r="A691" s="54" t="s">
        <v>6</v>
      </c>
      <c r="B691" s="59">
        <v>720</v>
      </c>
      <c r="C691" s="142" t="s">
        <v>13</v>
      </c>
      <c r="D691" s="82">
        <f>D102+D685</f>
        <v>70711256.71</v>
      </c>
      <c r="E691" s="82">
        <f>E102+E685</f>
        <v>66606567.89</v>
      </c>
      <c r="F691" s="82">
        <f>D691-E691</f>
        <v>4104688.82</v>
      </c>
    </row>
    <row r="692" spans="1:6" ht="12.75" hidden="1">
      <c r="A692" s="53" t="s">
        <v>7</v>
      </c>
      <c r="B692" s="58">
        <v>700</v>
      </c>
      <c r="C692" s="56" t="s">
        <v>14</v>
      </c>
      <c r="D692" s="15"/>
      <c r="E692" s="15"/>
      <c r="F692" s="15">
        <f t="shared" si="30"/>
        <v>0</v>
      </c>
    </row>
    <row r="693" spans="1:6" ht="22.5" hidden="1">
      <c r="A693" s="55" t="s">
        <v>8</v>
      </c>
      <c r="B693" s="60">
        <v>751</v>
      </c>
      <c r="C693" s="57" t="s">
        <v>15</v>
      </c>
      <c r="D693" s="7"/>
      <c r="E693" s="7"/>
      <c r="F693" s="15">
        <f t="shared" si="30"/>
        <v>0</v>
      </c>
    </row>
    <row r="694" spans="1:6" ht="8.25" customHeight="1" hidden="1">
      <c r="A694" s="55" t="s">
        <v>9</v>
      </c>
      <c r="B694" s="60">
        <v>752</v>
      </c>
      <c r="C694" s="57" t="s">
        <v>16</v>
      </c>
      <c r="D694" s="7"/>
      <c r="E694" s="7"/>
      <c r="F694" s="15">
        <f t="shared" si="30"/>
        <v>0</v>
      </c>
    </row>
    <row r="695" spans="1:5" ht="9.75" customHeight="1">
      <c r="A695" s="61" t="s">
        <v>17</v>
      </c>
      <c r="D695" s="29">
        <f>D676+D679</f>
        <v>0</v>
      </c>
      <c r="E695" s="29">
        <f>E676+E679</f>
        <v>0</v>
      </c>
    </row>
    <row r="696" ht="9" customHeight="1"/>
    <row r="697" spans="1:4" ht="15.75">
      <c r="A697" s="3" t="s">
        <v>396</v>
      </c>
      <c r="C697" s="2"/>
      <c r="D697" t="s">
        <v>397</v>
      </c>
    </row>
    <row r="698" spans="1:6" ht="13.5" customHeight="1">
      <c r="A698" s="3"/>
      <c r="C698" s="4" t="s">
        <v>176</v>
      </c>
      <c r="D698" s="231" t="s">
        <v>174</v>
      </c>
      <c r="E698" s="231"/>
      <c r="F698" s="231"/>
    </row>
    <row r="699" spans="1:3" ht="1.5" customHeight="1" hidden="1">
      <c r="A699" s="3"/>
      <c r="C699" s="1"/>
    </row>
    <row r="700" spans="1:4" ht="15.75">
      <c r="A700" s="3" t="s">
        <v>806</v>
      </c>
      <c r="C700" s="2"/>
      <c r="D700" t="s">
        <v>807</v>
      </c>
    </row>
    <row r="701" spans="3:6" ht="12.75">
      <c r="C701" s="4" t="s">
        <v>176</v>
      </c>
      <c r="D701" s="231" t="s">
        <v>174</v>
      </c>
      <c r="E701" s="231"/>
      <c r="F701" s="231"/>
    </row>
    <row r="703" ht="12.75">
      <c r="A703" s="220">
        <v>42380</v>
      </c>
    </row>
  </sheetData>
  <sheetProtection/>
  <mergeCells count="17">
    <mergeCell ref="E98:E100"/>
    <mergeCell ref="F98:F100"/>
    <mergeCell ref="B2:D2"/>
    <mergeCell ref="F11:F13"/>
    <mergeCell ref="C11:C13"/>
    <mergeCell ref="B10:C10"/>
    <mergeCell ref="A5:D6"/>
    <mergeCell ref="D698:F698"/>
    <mergeCell ref="D701:F701"/>
    <mergeCell ref="A11:A13"/>
    <mergeCell ref="B11:B13"/>
    <mergeCell ref="D11:D13"/>
    <mergeCell ref="E11:E13"/>
    <mergeCell ref="A98:A100"/>
    <mergeCell ref="B98:B100"/>
    <mergeCell ref="C98:C100"/>
    <mergeCell ref="D98:D100"/>
  </mergeCells>
  <printOptions horizontalCentered="1"/>
  <pageMargins left="0.7" right="0.7" top="0.75" bottom="0.75" header="0.3" footer="0.3"/>
  <pageSetup blackAndWhite="1" fitToHeight="15" horizontalDpi="600" verticalDpi="600" orientation="portrait" paperSize="9" scale="91" r:id="rId1"/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Галина Александровна Сапожникова</cp:lastModifiedBy>
  <cp:lastPrinted>2015-10-06T00:32:10Z</cp:lastPrinted>
  <dcterms:created xsi:type="dcterms:W3CDTF">1997-02-05T00:21:41Z</dcterms:created>
  <dcterms:modified xsi:type="dcterms:W3CDTF">2016-01-27T06:44:53Z</dcterms:modified>
  <cp:category/>
  <cp:version/>
  <cp:contentType/>
  <cp:contentStatus/>
</cp:coreProperties>
</file>